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1700" windowHeight="6540" tabRatio="727" firstSheet="23" activeTab="27"/>
  </bookViews>
  <sheets>
    <sheet name="ÖSSZEFÜGGÉSEK" sheetId="1" r:id="rId1"/>
    <sheet name="1.Pénzügyi mérleg" sheetId="2" r:id="rId2"/>
    <sheet name="2.1.Műküdési kiadások" sheetId="3" r:id="rId3"/>
    <sheet name="2.2.Felhalm.kiadások  " sheetId="4" r:id="rId4"/>
    <sheet name="ELLENŐRZÉS-1.sz.2.1.sz.2.2.sz." sheetId="5" r:id="rId5"/>
    <sheet name="3.Beruházási kiadás" sheetId="6" r:id="rId6"/>
    <sheet name="4. Felújítási kiadás" sheetId="7" r:id="rId7"/>
    <sheet name="5. Eu-s projektek" sheetId="8" r:id="rId8"/>
    <sheet name="6..sz. mell önkormányzat" sheetId="9" r:id="rId9"/>
    <sheet name=" 7..sz. mell Hivatal" sheetId="10" r:id="rId10"/>
    <sheet name="8. sz. mell. Családsegítő" sheetId="11" r:id="rId11"/>
    <sheet name="9. sz. mell VGSZ" sheetId="12" r:id="rId12"/>
    <sheet name="10.sz. mell. Könyvtár" sheetId="13" r:id="rId13"/>
    <sheet name="11.sz. mell. Óvoda" sheetId="14" r:id="rId14"/>
    <sheet name="12. Pénzmaradvány" sheetId="15" r:id="rId15"/>
    <sheet name="13.Pénzeszk. felhasz." sheetId="16" r:id="rId16"/>
    <sheet name="1.táj.Mérleg" sheetId="17" r:id="rId17"/>
    <sheet name="2. táj Többéves kihat" sheetId="18" r:id="rId18"/>
    <sheet name="3. táj Hitelek, kölcs" sheetId="19" r:id="rId19"/>
    <sheet name="4. táj Adósság állomány" sheetId="20" r:id="rId20"/>
    <sheet name="5. táj Közvetített tám." sheetId="21" r:id="rId21"/>
    <sheet name="6. táj Támogatások" sheetId="22" r:id="rId22"/>
    <sheet name="7.1. táj Vagyonkimutatás" sheetId="23" r:id="rId23"/>
    <sheet name="7.2. táj Vagyonkimutatás" sheetId="24" r:id="rId24"/>
    <sheet name="7.3. Vagyonkimutatás" sheetId="25" r:id="rId25"/>
    <sheet name="7.4. táj függő köt" sheetId="26" r:id="rId26"/>
    <sheet name="8. táj Részesedések" sheetId="27" r:id="rId27"/>
    <sheet name="9.táj.Eredménykimutatás " sheetId="28" r:id="rId28"/>
    <sheet name="Munka1" sheetId="29" r:id="rId29"/>
  </sheets>
  <externalReferences>
    <externalReference r:id="rId32"/>
  </externalReferences>
  <definedNames>
    <definedName name="_ftn1" localSheetId="24">'7.3. Vagyonkimutatás'!#REF!</definedName>
    <definedName name="_ftnref1" localSheetId="24">'7.3. Vagyonkimutatás'!$A$19</definedName>
    <definedName name="_xlnm.Print_Titles" localSheetId="9">' 7..sz. mell Hivatal'!$1:$6</definedName>
    <definedName name="_xlnm.Print_Titles" localSheetId="12">'10.sz. mell. Könyvtár'!$1:$6</definedName>
    <definedName name="_xlnm.Print_Titles" localSheetId="13">'11.sz. mell. Óvoda'!$1:$6</definedName>
    <definedName name="_xlnm.Print_Titles" localSheetId="8">'6..sz. mell önkormányzat'!$1:$6</definedName>
    <definedName name="_xlnm.Print_Titles" localSheetId="22">'7.1. táj Vagyonkimutatás'!$2:$7</definedName>
    <definedName name="_xlnm.Print_Titles" localSheetId="10">'8. sz. mell. Családsegítő'!$1:$6</definedName>
    <definedName name="_xlnm.Print_Titles" localSheetId="11">'9. sz. mell VGSZ'!$1:$6</definedName>
    <definedName name="_xlnm.Print_Area" localSheetId="1">'1.Pénzügyi mérleg'!$A$1:$H$152</definedName>
    <definedName name="_xlnm.Print_Area" localSheetId="2">'2.1.Műküdési kiadások'!$A$1:$J$32</definedName>
    <definedName name="_xlnm.Print_Area" localSheetId="18">'3. táj Hitelek, kölcs'!$A$1:$G$6</definedName>
    <definedName name="_xlnm.Print_Area" localSheetId="8">'6..sz. mell önkormányzat'!$A$1:$E$144</definedName>
    <definedName name="_xlnm.Print_Area" localSheetId="22">'7.1. táj Vagyonkimutatás'!$A$1:$P$69</definedName>
    <definedName name="_xlnm.Print_Area" localSheetId="23">'7.2. táj Vagyonkimutatás'!$A$1:$I$26</definedName>
    <definedName name="_xlnm.Print_Area" localSheetId="24">'7.3. Vagyonkimutatás'!$A$1:$I$25</definedName>
  </definedNames>
  <calcPr fullCalcOnLoad="1"/>
</workbook>
</file>

<file path=xl/sharedStrings.xml><?xml version="1.0" encoding="utf-8"?>
<sst xmlns="http://schemas.openxmlformats.org/spreadsheetml/2006/main" count="2986" uniqueCount="984">
  <si>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</si>
  <si>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</si>
  <si>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</si>
  <si>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</si>
  <si>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</si>
  <si>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</si>
  <si>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</si>
  <si>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</si>
  <si>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</si>
  <si>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</si>
  <si>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</si>
  <si>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</si>
  <si>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</si>
  <si>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</si>
  <si>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</si>
  <si>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</si>
  <si>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</si>
  <si>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</si>
  <si>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</si>
  <si>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</si>
  <si>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</si>
  <si>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</si>
  <si>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</si>
  <si>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</si>
  <si>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</si>
  <si>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</si>
  <si>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</si>
  <si>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</si>
  <si>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</si>
  <si>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</si>
  <si>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</si>
  <si>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</si>
  <si>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</si>
  <si>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</si>
  <si>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</si>
  <si>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</si>
  <si>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</si>
  <si>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</si>
  <si>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</si>
  <si>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</si>
  <si>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</si>
  <si>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</si>
  <si>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</si>
  <si>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</si>
  <si>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</si>
  <si>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</si>
  <si>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</si>
  <si>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</si>
  <si>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</si>
  <si>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</si>
  <si>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</si>
  <si>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</si>
  <si>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</si>
  <si>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</si>
  <si>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</si>
  <si>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</si>
  <si>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</si>
  <si>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</si>
  <si>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</si>
  <si>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</si>
  <si>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</si>
  <si>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</si>
  <si>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</si>
  <si>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</si>
  <si>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</si>
  <si>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</si>
  <si>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</si>
  <si>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</si>
  <si>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</si>
  <si>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</si>
  <si>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</si>
  <si>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</si>
  <si>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</si>
  <si>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</si>
  <si>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</si>
  <si>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</si>
  <si>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</si>
  <si>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</si>
  <si>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</si>
  <si>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</si>
  <si>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</si>
  <si>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</si>
  <si>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</si>
  <si>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</si>
  <si>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</si>
  <si>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</si>
  <si>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</si>
  <si>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</si>
  <si>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</si>
  <si>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</si>
  <si>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</si>
  <si>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</si>
  <si>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</si>
  <si>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</si>
  <si>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</si>
  <si>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</si>
  <si>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</si>
  <si>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</si>
  <si>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</si>
  <si>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</si>
  <si>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</si>
  <si>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</si>
  <si>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</si>
  <si>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</si>
  <si>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</si>
  <si>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</si>
  <si>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</si>
  <si>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</si>
  <si>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</si>
  <si>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</si>
  <si>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</si>
  <si>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</si>
  <si>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</si>
  <si>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</si>
  <si>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</si>
  <si>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</si>
  <si>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</si>
  <si>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</si>
  <si>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</si>
  <si>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</si>
  <si>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</si>
  <si>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</si>
  <si>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</si>
  <si>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</si>
  <si>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</si>
  <si>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</si>
  <si>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</si>
  <si>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</si>
  <si>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</si>
  <si>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</si>
  <si>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</si>
  <si>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</si>
  <si>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</si>
  <si>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</si>
  <si>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</si>
  <si>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</si>
  <si>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</si>
  <si>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</si>
  <si>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</si>
  <si>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</si>
  <si>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</si>
  <si>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</si>
  <si>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</si>
  <si>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</si>
  <si>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</si>
  <si>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</si>
  <si>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</si>
  <si>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</si>
  <si>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</si>
  <si>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</si>
  <si>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</si>
  <si>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</si>
  <si>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</si>
  <si>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</si>
  <si>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</si>
  <si>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</si>
  <si>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</si>
  <si>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</si>
  <si>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</si>
  <si>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</si>
  <si>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</si>
  <si>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</si>
  <si>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</si>
  <si>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</si>
  <si>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</si>
  <si>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</si>
  <si>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</si>
  <si>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</si>
  <si>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</si>
  <si>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</si>
  <si>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</si>
  <si>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</si>
  <si>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</si>
  <si>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</si>
  <si>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</si>
  <si>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</si>
  <si>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</si>
  <si>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</si>
  <si>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</si>
  <si>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</si>
  <si>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</si>
  <si>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</si>
  <si>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</si>
  <si>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</si>
  <si>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</si>
  <si>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</si>
  <si>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</si>
  <si>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</si>
  <si>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</si>
  <si>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</si>
  <si>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</si>
  <si>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</si>
  <si>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</si>
  <si>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</si>
  <si>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</si>
  <si>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</si>
  <si>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</si>
  <si>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</si>
  <si>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</si>
  <si>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</si>
  <si>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</si>
  <si>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</si>
  <si>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</si>
  <si>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</si>
  <si>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</si>
  <si>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</si>
  <si>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</si>
  <si>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</si>
  <si>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</si>
  <si>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</si>
  <si>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</si>
  <si>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32.</t>
  </si>
  <si>
    <t>33.</t>
  </si>
  <si>
    <t>ESZKÖZÖK</t>
  </si>
  <si>
    <t>Sorszám</t>
  </si>
  <si>
    <t>Bruttó</t>
  </si>
  <si>
    <t xml:space="preserve">Könyv szerinti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</si>
  <si>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</si>
  <si>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</si>
  <si>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</si>
  <si>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</si>
  <si>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</si>
  <si>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</si>
  <si>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</si>
  <si>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</si>
  <si>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</si>
  <si>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</si>
  <si>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</si>
  <si>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</si>
  <si>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</si>
  <si>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</si>
  <si>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</si>
  <si>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</si>
  <si>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</si>
  <si>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</si>
  <si>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</si>
  <si>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</si>
  <si>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</si>
  <si>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</si>
  <si>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</si>
  <si>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</si>
  <si>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</si>
  <si>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</si>
  <si>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</si>
  <si>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</si>
  <si>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</si>
  <si>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</si>
  <si>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</si>
  <si>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</si>
  <si>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</si>
  <si>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</si>
  <si>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</si>
  <si>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</si>
  <si>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</si>
  <si>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</si>
  <si>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</si>
  <si>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</si>
  <si>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</si>
  <si>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</si>
  <si>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Gazdálkodó szervezet megnevezése</t>
  </si>
  <si>
    <t>Részesedés összege (Ft-ban)</t>
  </si>
  <si>
    <t xml:space="preserve">       ÖSSZESEN: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</si>
  <si>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</si>
  <si>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</si>
  <si>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</si>
  <si>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</si>
  <si>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</si>
  <si>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</si>
  <si>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</si>
  <si>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</si>
  <si>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</si>
  <si>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</si>
  <si>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</si>
  <si>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</si>
  <si>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</si>
  <si>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</si>
  <si>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</si>
  <si>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</si>
  <si>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</si>
  <si>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</si>
  <si>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</si>
  <si>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</si>
  <si>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</si>
  <si>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</si>
  <si>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</si>
  <si>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</si>
  <si>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</si>
  <si>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4.2.</t>
  </si>
  <si>
    <t>4.3.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</si>
  <si>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</si>
  <si>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</si>
  <si>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</si>
  <si>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</si>
  <si>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</si>
  <si>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</si>
  <si>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</si>
  <si>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</si>
  <si>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</si>
  <si>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</si>
  <si>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</si>
  <si>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</si>
  <si>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</si>
  <si>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</si>
  <si>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</si>
  <si>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</si>
  <si>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</si>
  <si>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</si>
  <si>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</si>
  <si>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</si>
  <si>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</si>
  <si>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</si>
  <si>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</si>
  <si>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</si>
  <si>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</si>
  <si>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</si>
  <si>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</si>
  <si>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</si>
  <si>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</si>
  <si>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</si>
  <si>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</si>
  <si>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</si>
  <si>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</si>
  <si>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</si>
  <si>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</si>
  <si>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</si>
  <si>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</si>
  <si>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</si>
  <si>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</si>
  <si>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</si>
  <si>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</si>
  <si>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</si>
  <si>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</si>
  <si>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</si>
  <si>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</si>
  <si>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</si>
  <si>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</si>
  <si>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</si>
  <si>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</si>
  <si>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</si>
  <si>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</si>
  <si>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</si>
  <si>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</si>
  <si>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</si>
  <si>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</si>
  <si>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</si>
  <si>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</si>
  <si>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</si>
  <si>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</si>
  <si>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</si>
  <si>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</si>
  <si>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</si>
  <si>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</si>
  <si>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</si>
  <si>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</si>
  <si>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</si>
  <si>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</si>
  <si>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</si>
  <si>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</si>
  <si>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</si>
  <si>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</si>
  <si>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</si>
  <si>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</si>
  <si>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</si>
  <si>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</si>
  <si>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</si>
  <si>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</si>
  <si>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</si>
  <si>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</si>
  <si>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</si>
  <si>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</si>
  <si>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</si>
  <si>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</si>
  <si>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</si>
  <si>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</si>
  <si>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</si>
  <si>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</si>
  <si>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</si>
  <si>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</si>
  <si>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</si>
  <si>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</si>
  <si>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</si>
  <si>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</si>
  <si>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</si>
  <si>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</si>
  <si>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</si>
  <si>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</si>
  <si>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</si>
  <si>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</si>
  <si>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</si>
  <si>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</si>
  <si>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</si>
  <si>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</si>
  <si>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</si>
  <si>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</si>
  <si>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</si>
  <si>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</si>
  <si>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</si>
  <si>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</si>
  <si>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</si>
  <si>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</si>
  <si>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</si>
  <si>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</si>
  <si>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</si>
  <si>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</si>
  <si>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</si>
  <si>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</si>
  <si>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</si>
  <si>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</si>
  <si>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</si>
  <si>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</si>
  <si>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</si>
  <si>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</si>
  <si>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</si>
  <si>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</si>
  <si>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</si>
  <si>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</si>
  <si>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</si>
  <si>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</si>
  <si>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</si>
  <si>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</si>
  <si>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</si>
  <si>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</si>
  <si>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</si>
  <si>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</si>
  <si>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</si>
  <si>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</si>
  <si>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</si>
  <si>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</si>
  <si>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</si>
  <si>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</si>
  <si>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</si>
  <si>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</si>
  <si>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</si>
  <si>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</si>
  <si>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</si>
  <si>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</si>
  <si>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</si>
  <si>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</si>
  <si>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</si>
  <si>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</si>
  <si>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</si>
  <si>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</si>
  <si>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</si>
  <si>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</si>
  <si>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</si>
  <si>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</si>
  <si>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</si>
  <si>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</si>
  <si>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</si>
  <si>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</si>
  <si>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</si>
  <si>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</si>
  <si>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</si>
  <si>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</si>
  <si>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</si>
  <si>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</si>
  <si>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</si>
  <si>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</si>
  <si>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</si>
  <si>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</si>
  <si>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</si>
  <si>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</si>
  <si>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</si>
  <si>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</si>
  <si>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</si>
  <si>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</si>
  <si>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</si>
  <si>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</si>
  <si>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</si>
  <si>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</si>
  <si>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</si>
  <si>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</si>
  <si>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</si>
  <si>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</si>
  <si>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</si>
  <si>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</si>
  <si>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</si>
  <si>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</si>
  <si>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</si>
  <si>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</si>
  <si>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</si>
  <si>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</si>
  <si>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</si>
  <si>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</si>
  <si>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</si>
  <si>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</si>
  <si>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</si>
  <si>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</si>
  <si>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</si>
  <si>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</si>
  <si>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</si>
  <si>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</si>
  <si>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</si>
  <si>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</si>
  <si>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</si>
  <si>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</si>
  <si>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</si>
  <si>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</si>
  <si>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</si>
  <si>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</si>
  <si>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</si>
  <si>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</si>
  <si>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</si>
  <si>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</si>
  <si>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</si>
  <si>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</si>
  <si>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</si>
  <si>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</si>
  <si>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</si>
  <si>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</si>
  <si>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</si>
  <si>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</si>
  <si>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</si>
  <si>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</si>
  <si>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</si>
  <si>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</si>
  <si>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</si>
  <si>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</si>
  <si>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</si>
  <si>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</si>
  <si>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</si>
  <si>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</si>
  <si>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</si>
  <si>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</si>
  <si>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</si>
  <si>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</si>
  <si>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</si>
  <si>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</si>
  <si>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</si>
  <si>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</si>
  <si>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</si>
  <si>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</si>
  <si>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</si>
  <si>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</si>
  <si>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</si>
  <si>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</si>
  <si>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</si>
  <si>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</si>
  <si>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</si>
  <si>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</si>
  <si>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</si>
  <si>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</si>
  <si>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</si>
  <si>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</si>
  <si>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</si>
  <si>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</si>
  <si>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</si>
  <si>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</si>
  <si>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</si>
  <si>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</si>
  <si>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</si>
  <si>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</si>
  <si>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</si>
  <si>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</si>
  <si>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</si>
  <si>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</si>
  <si>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</si>
  <si>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</si>
  <si>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</si>
  <si>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</si>
  <si>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</si>
  <si>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</si>
  <si>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</si>
  <si>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</si>
  <si>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</si>
  <si>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</si>
  <si>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</si>
  <si>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</si>
  <si>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</si>
  <si>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</si>
  <si>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</si>
  <si>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</si>
  <si>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</si>
  <si>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</si>
  <si>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</si>
  <si>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</si>
  <si>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</si>
  <si>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</si>
  <si>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</si>
  <si>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</si>
  <si>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</si>
  <si>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</si>
  <si>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</si>
  <si>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</si>
  <si>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</si>
  <si>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</si>
  <si>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</si>
  <si>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</si>
  <si>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</si>
  <si>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</si>
  <si>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</si>
  <si>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</si>
  <si>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</si>
  <si>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</si>
  <si>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</si>
  <si>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</si>
  <si>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</si>
  <si>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</si>
  <si>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</si>
  <si>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</si>
  <si>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</si>
  <si>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</si>
  <si>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</si>
  <si>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</si>
  <si>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</si>
  <si>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</si>
  <si>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</si>
  <si>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</si>
  <si>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</si>
  <si>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</si>
  <si>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</si>
  <si>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</si>
  <si>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</si>
  <si>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</si>
  <si>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</si>
  <si>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</si>
  <si>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</si>
  <si>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</si>
  <si>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</si>
  <si>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</si>
  <si>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</si>
  <si>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</si>
  <si>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</si>
  <si>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</si>
  <si>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Intézményt megillető maradvány</t>
  </si>
  <si>
    <t>Jóváhagyott</t>
  </si>
  <si>
    <t>Jóváhagyott-ból működési</t>
  </si>
  <si>
    <t>Jóváhagyott-ból felhalmozási</t>
  </si>
  <si>
    <t>J=(F+…+I)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</si>
  <si>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</si>
  <si>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</si>
  <si>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</si>
  <si>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</si>
  <si>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</si>
  <si>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</si>
  <si>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</si>
  <si>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</si>
  <si>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</si>
  <si>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</si>
  <si>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</si>
  <si>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</si>
  <si>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</si>
  <si>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</si>
  <si>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</si>
  <si>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</si>
  <si>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</si>
  <si>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</si>
  <si>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</si>
  <si>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</si>
  <si>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</si>
  <si>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</si>
  <si>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</si>
  <si>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13.4.</t>
  </si>
  <si>
    <t>Központi, irányítószervi támogatás</t>
  </si>
  <si>
    <t>1.16.</t>
  </si>
  <si>
    <t xml:space="preserve"> - Garancia- és kezességvállalásból kifizetés ÁH-n belülre</t>
  </si>
  <si>
    <t xml:space="preserve"> - Visszatérítendő támogatások, kölcsönök törlesztése ÁH-n belülre</t>
  </si>
  <si>
    <t xml:space="preserve"> - Garancia és kezességvállalásból kifizetés ÁH-n kívülre</t>
  </si>
  <si>
    <t xml:space="preserve"> - Visszatérítendő támogatások, kölcsönök nyújtása ÁH-n kívülre</t>
  </si>
  <si>
    <t xml:space="preserve"> - Árkiegészítések, ártámogatások</t>
  </si>
  <si>
    <t xml:space="preserve"> - Kamattámogatások</t>
  </si>
  <si>
    <t xml:space="preserve"> - Egyéb működési célú támogatások államháztartáson kívülre</t>
  </si>
  <si>
    <t xml:space="preserve"> - Tartalékok</t>
  </si>
  <si>
    <t xml:space="preserve"> - Visszatérítendő támogatások, kölcsönök nyújtása ÁH-n belülre</t>
  </si>
  <si>
    <t xml:space="preserve"> - ebből: tartalékok</t>
  </si>
  <si>
    <t>Belföldi finanszírozások kiadásai</t>
  </si>
  <si>
    <t xml:space="preserve">   - Tartalékok (3.1.+3.2.)</t>
  </si>
  <si>
    <t>Dologi kiadások</t>
  </si>
  <si>
    <t>Hitel-, kölcsöntörlesztés államháztartáson kívülre (4.1.+…+4.3.)</t>
  </si>
  <si>
    <t>Belföldi értékpapírok kiadásai (5.1. + … + 5.4.)</t>
  </si>
  <si>
    <t>Belföldi finanszírozás kiadásai 6.1. + … + 6.5.)</t>
  </si>
  <si>
    <t>Külföldi finanszírozás kiadásai (7.1. + … + 7.4.)</t>
  </si>
  <si>
    <t>FINANSZÍROZÁSI KIADÁSOK ÖSSZESEN: (4.+…+7.)</t>
  </si>
  <si>
    <t>KIADÁSOK ÖSSZESEN: (3+8)</t>
  </si>
  <si>
    <t>Maradvány összege</t>
  </si>
  <si>
    <t>2017. évi eredeti előirányzat BEVÉTELEK</t>
  </si>
  <si>
    <t>Nagykátai Polgármesteri Hivatal</t>
  </si>
  <si>
    <t xml:space="preserve">Nagykátai Család- és Gyermekjóléti Központ </t>
  </si>
  <si>
    <t xml:space="preserve">Nagykáta Város Önkormányzata Városgazdálkodási Szervezete </t>
  </si>
  <si>
    <t>Nagykáta Város Önkormányzata Városgazdálkodási Szervezete</t>
  </si>
  <si>
    <t>Nagykáta Városi Napközi Otthonos Óvoda</t>
  </si>
  <si>
    <t xml:space="preserve"> forintban !</t>
  </si>
  <si>
    <t>Vagyoni típusú adók</t>
  </si>
  <si>
    <t>Termékek és szolgáltatások adói</t>
  </si>
  <si>
    <t>FT</t>
  </si>
  <si>
    <t>Ft</t>
  </si>
  <si>
    <t>Központi irányítószervi támogatás kiadása</t>
  </si>
  <si>
    <t>Államháztartáson belüli megelőlegezés visszafizetése</t>
  </si>
  <si>
    <t>Ingatlan vásárlás HRSZ 4094</t>
  </si>
  <si>
    <t>Külterületi földutak tervezés</t>
  </si>
  <si>
    <t>Orvosi rendelő építése</t>
  </si>
  <si>
    <t>Ingatlan vásárlás HRSZ 0224/54</t>
  </si>
  <si>
    <t>Dózsa Gy.út 24. előtti zebra közvilágítása</t>
  </si>
  <si>
    <t xml:space="preserve">Ablakkeretes szúnyogháló és redőny a Czakó u. Óvoda </t>
  </si>
  <si>
    <t xml:space="preserve">KEHOP-5.2.9-16-2016-00048 sz.Energetikai pályázatok Epresi Iskola, Mátray Régi Iskola, Mátray Új Iskola, volt MHSZ épülete, Műv.Ház felújítása </t>
  </si>
  <si>
    <t>Nagykáta Város Önkormányzata</t>
  </si>
  <si>
    <t>forintban !</t>
  </si>
  <si>
    <t xml:space="preserve">Nagykátai Polgármesteri Hivatal </t>
  </si>
  <si>
    <t>Nagykátai Család-és Gyermekjóléti Központ</t>
  </si>
  <si>
    <t>Nagykátai Városi Könyvtár és Művelődési Központ</t>
  </si>
  <si>
    <t>Nagykátai Gyógyfürdő és Egyéb Szolgáltató Nonprofit Kft. fürdőberuházás hitel kezességv.</t>
  </si>
  <si>
    <t>Tápiómenti Települések Csatornamű Vízg. Társulata hitel kezességváll.</t>
  </si>
  <si>
    <t>Adatok:forintban!</t>
  </si>
  <si>
    <t xml:space="preserve"> </t>
  </si>
  <si>
    <t>Kötelezettség megnevezése</t>
  </si>
  <si>
    <t>Azonosító adatok</t>
  </si>
  <si>
    <t>Futamidő/ kezesség érvény. Ideje</t>
  </si>
  <si>
    <t xml:space="preserve">Tárgyévi kötel. vállalás </t>
  </si>
  <si>
    <t>Adósságot keletkeztető ügyletből származó t.évet követő évek kötelezettségei</t>
  </si>
  <si>
    <r>
      <t xml:space="preserve">Összes fennálló kötelezettség </t>
    </r>
    <r>
      <rPr>
        <i/>
        <sz val="10"/>
        <rFont val="Arial"/>
        <family val="2"/>
      </rPr>
      <t>(2017.12.31.-én)</t>
    </r>
  </si>
  <si>
    <t xml:space="preserve">Összes lehívott hitel </t>
  </si>
  <si>
    <t>Megjegyzés</t>
  </si>
  <si>
    <t>További köt. f.idő végéig</t>
  </si>
  <si>
    <t>-</t>
  </si>
  <si>
    <t>HITEL ÖSSZESEN</t>
  </si>
  <si>
    <t>1-1-10-4200-0535-8</t>
  </si>
  <si>
    <t>Függő kötelezettség</t>
  </si>
  <si>
    <t>SFI-ÖEP-09-0299/2/3/4</t>
  </si>
  <si>
    <t>KEZESSÉGVÁLLALÁS ÖSSZESEN</t>
  </si>
  <si>
    <t>ÖSSZES KÖTELEZETTSÉGVÁLLALÁS</t>
  </si>
  <si>
    <t>Ft-ban</t>
  </si>
  <si>
    <t>Előző időszak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</si>
  <si>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</si>
  <si>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</si>
  <si>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</si>
  <si>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</si>
  <si>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</si>
  <si>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</si>
  <si>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</si>
  <si>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</si>
  <si>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</si>
  <si>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</si>
  <si>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</si>
  <si>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</si>
  <si>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</si>
  <si>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</si>
  <si>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</si>
  <si>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</si>
  <si>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</si>
  <si>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</si>
  <si>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</si>
  <si>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</si>
  <si>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</si>
  <si>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</si>
  <si>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</si>
  <si>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</si>
  <si>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</si>
  <si>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21 Pénzügyi műveletek egyéb eredményszemléletű bevételei (&gt;=21a+21b)</t>
  </si>
  <si>
    <t>VIII Pénzügyi műveletek eredményszemléletű bevételei (=17+18+19+20+21)</t>
  </si>
  <si>
    <t>24 Fizetendő kamatok és kamatjellegű ráfordítások</t>
  </si>
  <si>
    <t>25 Részesedések, értékpapírok, pénzeszközök értékvesztése (&gt;=25a+25b)</t>
  </si>
  <si>
    <t>26 Pénzügyi műveletek egyéb ráfordításai (&gt;=26a+26b)</t>
  </si>
  <si>
    <t>IX Pénzügyi műveletek ráfordításai (=22+23+24+25+26)</t>
  </si>
  <si>
    <t>B)  PÉNZÜGYI MŰVELETEK EREDMÉNYE (=VIII-IX)</t>
  </si>
  <si>
    <t>C)  MÉRLEG SZERINTI EREDMÉNY (=±A±B)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</si>
  <si>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</si>
  <si>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</si>
  <si>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</si>
  <si>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</si>
  <si>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</si>
  <si>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</si>
  <si>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</si>
  <si>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</si>
  <si>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</si>
  <si>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</si>
  <si>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</si>
  <si>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B/I/1 Vásárolt készletek</t>
  </si>
  <si>
    <t>B/I/4  Befejezetlen termelés, félkész termékek, késztermékek</t>
  </si>
  <si>
    <t>B/I Készletek (=B/I/1+…+B/I/5)</t>
  </si>
  <si>
    <t>B) NEMZETI VAGYONBA TARTOZÓ FORGÓESZKÖZÖK (= B/I+B/II)</t>
  </si>
  <si>
    <t>C/II/1 Forintpénztár</t>
  </si>
  <si>
    <t>C/II/2 Valutapénztár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</si>
  <si>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</si>
  <si>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</si>
  <si>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</si>
  <si>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</si>
  <si>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</si>
  <si>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D/I/3a  - ebből: költségvetési évben esedékes követelések jövedelemadókra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</si>
  <si>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</si>
  <si>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</si>
  <si>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</si>
  <si>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</si>
  <si>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</si>
  <si>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</si>
  <si>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</si>
  <si>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</si>
  <si>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</si>
  <si>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D/I/5b - ebből: költségvetési évben esedékes követelések ingatlanok értékesítésére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</si>
  <si>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</si>
  <si>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</si>
  <si>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</si>
  <si>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D/I/7c - ebből: költségvetési évben esedékes követelések felhalmozási célú visszatérítendő támogatások, kölcsönök visszatérülésére államháztartáson kívülről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</si>
  <si>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</si>
  <si>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</si>
  <si>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</si>
  <si>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</si>
  <si>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D/II/4d - ebből: költségvetési évet követően esedékes követelések kiszámlázott általános forgalmi adóra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</si>
  <si>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</si>
  <si>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</si>
  <si>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D/II/5b - ebből: költségvetési évet követően esedékes követelések ingatlanok értékesítésére</t>
  </si>
  <si>
    <t>D/II Költségvetési évet követően esedékes követelések (=D/II/1+…+D/II/8)</t>
  </si>
  <si>
    <t>D/III/1 Adott előlegek (=D/III/1a+…+D/III/1f)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</si>
  <si>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</si>
  <si>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</si>
  <si>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</si>
  <si>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</si>
  <si>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</si>
  <si>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D/III/5 Vagyonkezelésbe adott eszközökkel kapcsolatos visszapótlási követelés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</si>
  <si>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</si>
  <si>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</si>
  <si>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</si>
  <si>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</si>
  <si>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</si>
  <si>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</si>
  <si>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</si>
  <si>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</si>
  <si>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</si>
  <si>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</si>
  <si>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</si>
  <si>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</si>
  <si>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</si>
  <si>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</si>
  <si>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</si>
  <si>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</si>
  <si>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</si>
  <si>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</si>
  <si>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</si>
  <si>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</si>
  <si>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</si>
  <si>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</si>
  <si>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H/I/1 Költségvetési évben esedékes kötelezettségek személyi juttatásokra</t>
  </si>
  <si>
    <t>H/I/3 Költségvetési évben esedékes kötelezettségek dologi kiadásokra</t>
  </si>
  <si>
    <t>H/I/5 Költségvetési évben esedékes kötelezettségek egyéb működési célú kiadásokra (&gt;=H/I/5a+H/I/5b)</t>
  </si>
  <si>
    <t>H/I/8 Költségvetési évben esedékes kötelezettségek egyéb felhalmozási célú kiadásokra (&gt;=H/I/8a+H/I/8b)</t>
  </si>
  <si>
    <t>H/I Költségvetési évben esedékes kötelezettségek (=H/I/1+…+H/I/9)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</si>
  <si>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</si>
  <si>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</si>
  <si>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</si>
  <si>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H/II/6 Költségvetési évet követően esedékes kötelezettségek beruházásokra</t>
  </si>
  <si>
    <t>H/II/7 Költségvetési évet követően esedékes kötelezettségek felújításokra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</si>
  <si>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</si>
  <si>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</si>
  <si>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</si>
  <si>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</si>
  <si>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</si>
  <si>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</si>
  <si>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</si>
  <si>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</si>
  <si>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</si>
  <si>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</si>
  <si>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</si>
  <si>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</si>
  <si>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</si>
  <si>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Nagykátai Család- és Gyermekjóléti Központ</t>
  </si>
  <si>
    <t>Városi Napközi Otthonos Óvoda</t>
  </si>
  <si>
    <t xml:space="preserve"> Városi Könyvtár és Művelődési Központ</t>
  </si>
  <si>
    <t>Összesítő</t>
  </si>
  <si>
    <t>Városi Könyvtár és Művelődési Központ</t>
  </si>
  <si>
    <t xml:space="preserve">Városi Könyvtár és Művelődési Központ </t>
  </si>
  <si>
    <t xml:space="preserve"> Városi Napközi Otthonos Óvoda</t>
  </si>
  <si>
    <t>forintban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</si>
  <si>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</si>
  <si>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</si>
  <si>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Ingatlan vásárlás HRSZ 1909/3</t>
  </si>
  <si>
    <t>Egyéb tárgyi eszközök beszerzése (tornacsarnok kiértékű eszközei, kártyaolvasók, koptatólemez, stb..)</t>
  </si>
  <si>
    <t>Rovat megnevezése</t>
  </si>
  <si>
    <t>Rovat száma</t>
  </si>
  <si>
    <t xml:space="preserve">Felhalmozási célú garancia- és kezességvállalásból származó kifizetés államháztartáson kívülre  </t>
  </si>
  <si>
    <t>K85</t>
  </si>
  <si>
    <t>Nagykátai Gyógyfürdő és Egyéb Szolgáltó Nonprofit Kft. Tőke és kamatfizetés támogatása</t>
  </si>
  <si>
    <t>Mindösszesen</t>
  </si>
  <si>
    <t xml:space="preserve"> forintban!</t>
  </si>
  <si>
    <t>Közvetett tám. megnevezése</t>
  </si>
  <si>
    <t>Kedvezményezett</t>
  </si>
  <si>
    <t>Kedvezm. időszak mértéke</t>
  </si>
  <si>
    <t>2016. évi kedv.</t>
  </si>
  <si>
    <t>1. Eltartottak tér.díjának méltányossági    alapon történő elengedése</t>
  </si>
  <si>
    <t>2. Lakosság részére lakásépítéséhez nyújtott kölcsönök elengedésének összege</t>
  </si>
  <si>
    <t>3. Helyi adóknál biztosított kedv.  Iparűzési adó</t>
  </si>
  <si>
    <t>4. Helyi adóknál biztosított kedv.  Magánsz. Komm. Adó testületi rendelet alapján biztosított mentesség</t>
  </si>
  <si>
    <t>2016év</t>
  </si>
  <si>
    <t>5. Helyi adók Magánsz. Komm. Adó méltányossági elj. alapján biztosított kedvezmény</t>
  </si>
  <si>
    <t>6. Gépjárműadó kedvezmény</t>
  </si>
  <si>
    <t>2015. év</t>
  </si>
  <si>
    <t>7. Gépjárműadó mentesség</t>
  </si>
  <si>
    <t>8. Egyéb közhatalmi bevételek</t>
  </si>
  <si>
    <t>9. Helyiségek hasznosításából származó bev.-ből nyújtott kedv.</t>
  </si>
  <si>
    <t>10. Egyéb nyújtott kedvezmény</t>
  </si>
  <si>
    <t>Nagykáta SE</t>
  </si>
  <si>
    <t>Tápiómente Közhasznú Alapítvány</t>
  </si>
  <si>
    <t>Tápiómenti Tömegsport Alapítvány</t>
  </si>
  <si>
    <t>Támogatott megnevezése</t>
  </si>
  <si>
    <t xml:space="preserve">Támogatási cél </t>
  </si>
  <si>
    <t xml:space="preserve">Összeg </t>
  </si>
  <si>
    <t xml:space="preserve">1. </t>
  </si>
  <si>
    <t xml:space="preserve">Alap Alapítvány </t>
  </si>
  <si>
    <t>"Retro Grund Rock találkozó"</t>
  </si>
  <si>
    <t>III. Tápiómeti Gyermek és Ifjúsági Néptánc Fesztivál</t>
  </si>
  <si>
    <t>III. Sportolj Tápió-Vidék  családi sportnap</t>
  </si>
  <si>
    <t>Római Katolikus Egyházközség</t>
  </si>
  <si>
    <t>Hittan tábor</t>
  </si>
  <si>
    <t>Nagykáta SE Sakk Szakosztály</t>
  </si>
  <si>
    <t>Tóth Lili VB Brazilia</t>
  </si>
  <si>
    <t xml:space="preserve">6. </t>
  </si>
  <si>
    <t>Nagykátai Polgárőrség</t>
  </si>
  <si>
    <t>2017. évi működési költség</t>
  </si>
  <si>
    <t>Nagykátai Szakrendelőért Egyesület</t>
  </si>
  <si>
    <t>Szívünk világnapja</t>
  </si>
  <si>
    <t xml:space="preserve"> VI.  Nagykáta Kupa</t>
  </si>
  <si>
    <t>YAKUZÁK SE</t>
  </si>
  <si>
    <t>Mező Lili Hegykői edzőtábor, Kielce EB</t>
  </si>
  <si>
    <t>2017.nov 25-i jótékonysági sportbál</t>
  </si>
  <si>
    <t>Katolikus Bál (2017.02.25.)</t>
  </si>
  <si>
    <t>Damjanich János Gimnázium és Mezőgazdasági Szakképző Iskola</t>
  </si>
  <si>
    <t>Szalagavató</t>
  </si>
  <si>
    <t>Országos Mentőszolgálat Nagykátai Mentőállomás</t>
  </si>
  <si>
    <t>Jótékonysági Bál</t>
  </si>
  <si>
    <t>Sporttelep 2017. fenntartása üzemeltetése</t>
  </si>
  <si>
    <t>TAO Saját erő</t>
  </si>
  <si>
    <t>KÁTA Alapítvány</t>
  </si>
  <si>
    <t>Nagykáta SE Labdarúgó Szakosztály</t>
  </si>
  <si>
    <t>Nagykáta SE  Kézilabda Szakosztály</t>
  </si>
  <si>
    <t>Nagykáta SE Kosárlabda Szakosztály</t>
  </si>
  <si>
    <t>Nagykáta SE Futsal Szakosztály</t>
  </si>
  <si>
    <t>Nagykáta SE SAKK Szakosztály</t>
  </si>
  <si>
    <t>METEOR KEMPO Sportegyesület</t>
  </si>
  <si>
    <t>YAKUZÁK Sportegyesület</t>
  </si>
  <si>
    <t xml:space="preserve">Polgármesteri Szociális Keret </t>
  </si>
  <si>
    <t>Lakosság határozat alapján támogatása</t>
  </si>
  <si>
    <t xml:space="preserve">5.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</si>
  <si>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</si>
  <si>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</si>
  <si>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</si>
  <si>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</si>
  <si>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</si>
  <si>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</si>
  <si>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</si>
  <si>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</si>
  <si>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</si>
  <si>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</si>
  <si>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</si>
  <si>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</si>
  <si>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</si>
  <si>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</si>
  <si>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</si>
  <si>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</si>
  <si>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</si>
  <si>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>Sportcélú támogatás</t>
  </si>
  <si>
    <t>Benji Ruhaipari kft</t>
  </si>
  <si>
    <t>Promotorvin részvények</t>
  </si>
  <si>
    <t>Szolnoki Sűtőipari  Zrt</t>
  </si>
  <si>
    <t>Káta Hidro Kft.</t>
  </si>
  <si>
    <t xml:space="preserve">Első-Tápió Kft. </t>
  </si>
  <si>
    <t>Dél-Pest megyei TISZK Kft.</t>
  </si>
  <si>
    <t>KÖZVILL Rt. Nagykanizsa részvény</t>
  </si>
  <si>
    <t>Nagykátai Gyógyfürdő és Egyéb Szolgáltató Nonprofit Kft.</t>
  </si>
  <si>
    <t xml:space="preserve">Káta-Sport Non-Profit Kft. </t>
  </si>
  <si>
    <t>Tiszamenti Regionális Vízművek Zrt.</t>
  </si>
  <si>
    <t>Nagykátai Mezőgazdasági Kft.</t>
  </si>
  <si>
    <t>2017. évben könyv szerinti értéke</t>
  </si>
  <si>
    <t>2017. évi kedv.</t>
  </si>
  <si>
    <t xml:space="preserve">Nagykátai Család-és Gyermekjóléli Központ </t>
  </si>
  <si>
    <t>Nagykáta Város Önkormányzat Városgazdálkodási Szervezete</t>
  </si>
  <si>
    <t xml:space="preserve">Városi Napközi Otthonos Óvoda </t>
  </si>
  <si>
    <t>Adatok:  forintban!</t>
  </si>
  <si>
    <t>Értéke
(Ft)</t>
  </si>
  <si>
    <t>"Nemleges "</t>
  </si>
  <si>
    <t>Belterületi utak építésének tervezése</t>
  </si>
  <si>
    <t>Járda térkövezési munkálatai a Zárda u., Vadász u, Dózsa Gy.</t>
  </si>
  <si>
    <t>EU-s projekt neve, azonosítója:KEHOP -5.2.9-16-2016-00048 "Energetikai felújítások Nagykáta Város intézményei"</t>
  </si>
  <si>
    <t xml:space="preserve">Intézményeknél kisértékű tárgyi eszközök beszerzése (telefonok, nyomtatók, stb.) </t>
  </si>
  <si>
    <t>Teljesítés Összesen</t>
  </si>
  <si>
    <t>Teljesítés Kötelező</t>
  </si>
  <si>
    <t xml:space="preserve">Teljesítés Önkéntes </t>
  </si>
  <si>
    <t>Teljesítés Államig.</t>
  </si>
  <si>
    <t xml:space="preserve"> forintban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</si>
  <si>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</si>
  <si>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</si>
  <si>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</si>
  <si>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</si>
  <si>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Összeg  (  Ft )</t>
  </si>
  <si>
    <t>PÉNZESZKÖZÖK VÁLTOZÁSÁNAK LEVEZETÉSE 2017.év</t>
  </si>
  <si>
    <t xml:space="preserve">Korrekció (+/-) </t>
  </si>
  <si>
    <t>13. sz. melléklet a 4/2018. (V.30.) önkormányzati rendelethez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</si>
</sst>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#,##0.0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_-* #,##0\ &quot;Ft&quot;_-;\-* #,##0\ &quot;Ft&quot;_-;_-* &quot;-&quot;??\ &quot;Ft&quot;_-;_-@_-"/>
    <numFmt numFmtId="184" formatCode="[$¥€-2]\ #\ ##,000_);[Red]\([$€-2]\ #\ ##,000\)"/>
    <numFmt numFmtId="185" formatCode="#,##0_ ;\-#,##0\ "/>
    <numFmt numFmtId="186" formatCode="_-* #,##0\ &quot;HUF&quot;_-;\-* #,##0\ &quot;HUF&quot;_-;_-* &quot;-&quot;??\ &quot;HUF&quot;_-;_-@_-"/>
    <numFmt numFmtId="187" formatCode="_-* #,##0\ _H_U_F_-;\-* #,##0\ _H_U_F_-;_-* &quot;-&quot;\ _H_U_F_-;_-@_-"/>
    <numFmt numFmtId="188" formatCode="[$-40E]General"/>
    <numFmt numFmtId="189" formatCode="_-* #,##0.0\ &quot;Ft&quot;_-;\-* #,##0.0\ &quot;Ft&quot;_-;_-* &quot;-&quot;??\ &quot;Ft&quot;_-;_-@_-"/>
  </numFmts>
  <fonts count="9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 CE"/>
      <family val="1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Wingdings"/>
      <family val="0"/>
    </font>
    <font>
      <b/>
      <sz val="13"/>
      <color indexed="62"/>
      <name val="Calibri"/>
      <family val="2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4" borderId="0" applyNumberFormat="0" applyBorder="0" applyAlignment="0" applyProtection="0"/>
    <xf numFmtId="0" fontId="83" fillId="7" borderId="0" applyNumberFormat="0" applyBorder="0" applyAlignment="0" applyProtection="0"/>
    <xf numFmtId="0" fontId="83" fillId="6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4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5" borderId="0" applyNumberFormat="0" applyBorder="0" applyAlignment="0" applyProtection="0"/>
    <xf numFmtId="0" fontId="83" fillId="18" borderId="0" applyNumberFormat="0" applyBorder="0" applyAlignment="0" applyProtection="0"/>
    <xf numFmtId="0" fontId="83" fillId="17" borderId="0" applyNumberFormat="0" applyBorder="0" applyAlignment="0" applyProtection="0"/>
    <xf numFmtId="0" fontId="56" fillId="19" borderId="0" applyNumberFormat="0" applyBorder="0" applyAlignment="0" applyProtection="0"/>
    <xf numFmtId="0" fontId="56" fillId="5" borderId="0" applyNumberFormat="0" applyBorder="0" applyAlignment="0" applyProtection="0"/>
    <xf numFmtId="0" fontId="56" fillId="20" borderId="0" applyNumberFormat="0" applyBorder="0" applyAlignment="0" applyProtection="0"/>
    <xf numFmtId="0" fontId="56" fillId="11" borderId="0" applyNumberFormat="0" applyBorder="0" applyAlignment="0" applyProtection="0"/>
    <xf numFmtId="0" fontId="56" fillId="19" borderId="0" applyNumberFormat="0" applyBorder="0" applyAlignment="0" applyProtection="0"/>
    <xf numFmtId="0" fontId="56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" borderId="0" applyNumberFormat="0" applyBorder="0" applyAlignment="0" applyProtection="0"/>
    <xf numFmtId="0" fontId="82" fillId="24" borderId="0" applyNumberFormat="0" applyBorder="0" applyAlignment="0" applyProtection="0"/>
    <xf numFmtId="0" fontId="82" fillId="17" borderId="0" applyNumberFormat="0" applyBorder="0" applyAlignment="0" applyProtection="0"/>
    <xf numFmtId="0" fontId="82" fillId="15" borderId="0" applyNumberFormat="0" applyBorder="0" applyAlignment="0" applyProtection="0"/>
    <xf numFmtId="0" fontId="82" fillId="25" borderId="0" applyNumberFormat="0" applyBorder="0" applyAlignment="0" applyProtection="0"/>
    <xf numFmtId="0" fontId="82" fillId="5" borderId="0" applyNumberFormat="0" applyBorder="0" applyAlignment="0" applyProtection="0"/>
    <xf numFmtId="0" fontId="57" fillId="26" borderId="0" applyNumberFormat="0" applyBorder="0" applyAlignment="0" applyProtection="0"/>
    <xf numFmtId="0" fontId="57" fillId="5" borderId="0" applyNumberFormat="0" applyBorder="0" applyAlignment="0" applyProtection="0"/>
    <xf numFmtId="0" fontId="57" fillId="20" borderId="0" applyNumberFormat="0" applyBorder="0" applyAlignment="0" applyProtection="0"/>
    <xf numFmtId="0" fontId="57" fillId="27" borderId="0" applyNumberFormat="0" applyBorder="0" applyAlignment="0" applyProtection="0"/>
    <xf numFmtId="0" fontId="57" fillId="2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27" borderId="0" applyNumberFormat="0" applyBorder="0" applyAlignment="0" applyProtection="0"/>
    <xf numFmtId="0" fontId="57" fillId="2" borderId="0" applyNumberFormat="0" applyBorder="0" applyAlignment="0" applyProtection="0"/>
    <xf numFmtId="0" fontId="57" fillId="32" borderId="0" applyNumberFormat="0" applyBorder="0" applyAlignment="0" applyProtection="0"/>
    <xf numFmtId="0" fontId="58" fillId="9" borderId="0" applyNumberFormat="0" applyBorder="0" applyAlignment="0" applyProtection="0"/>
    <xf numFmtId="0" fontId="84" fillId="17" borderId="1" applyNumberFormat="0" applyAlignment="0" applyProtection="0"/>
    <xf numFmtId="0" fontId="59" fillId="15" borderId="2" applyNumberFormat="0" applyAlignment="0" applyProtection="0"/>
    <xf numFmtId="0" fontId="60" fillId="33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78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85" fillId="34" borderId="7" applyNumberFormat="0" applyAlignment="0" applyProtection="0"/>
    <xf numFmtId="188" fontId="86" fillId="0" borderId="0">
      <alignment/>
      <protection/>
    </xf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62" fillId="10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1" applyNumberFormat="0" applyFill="0" applyAlignment="0" applyProtection="0"/>
    <xf numFmtId="0" fontId="66" fillId="4" borderId="2" applyNumberFormat="0" applyAlignment="0" applyProtection="0"/>
    <xf numFmtId="0" fontId="0" fillId="35" borderId="12" applyNumberFormat="0" applyFont="0" applyAlignment="0" applyProtection="0"/>
    <xf numFmtId="0" fontId="90" fillId="36" borderId="0" applyNumberFormat="0" applyBorder="0" applyAlignment="0" applyProtection="0"/>
    <xf numFmtId="0" fontId="91" fillId="37" borderId="13" applyNumberFormat="0" applyAlignment="0" applyProtection="0"/>
    <xf numFmtId="0" fontId="92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9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17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83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83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6" fillId="6" borderId="15" applyNumberFormat="0" applyFont="0" applyAlignment="0" applyProtection="0"/>
    <xf numFmtId="0" fontId="69" fillId="15" borderId="16" applyNumberFormat="0" applyAlignment="0" applyProtection="0"/>
    <xf numFmtId="0" fontId="9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96" fillId="38" borderId="0" applyNumberFormat="0" applyBorder="0" applyAlignment="0" applyProtection="0"/>
    <xf numFmtId="0" fontId="97" fillId="39" borderId="0" applyNumberFormat="0" applyBorder="0" applyAlignment="0" applyProtection="0"/>
    <xf numFmtId="0" fontId="98" fillId="37" borderId="1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8" applyNumberFormat="0" applyFill="0" applyAlignment="0" applyProtection="0"/>
    <xf numFmtId="0" fontId="72" fillId="0" borderId="0" applyNumberFormat="0" applyFill="0" applyBorder="0" applyAlignment="0" applyProtection="0"/>
  </cellStyleXfs>
  <cellXfs count="99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40" borderId="2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9" xfId="0" applyNumberFormat="1" applyFont="1" applyFill="1" applyBorder="1" applyAlignment="1" applyProtection="1">
      <alignment vertical="center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24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0" fillId="0" borderId="28" xfId="126" applyNumberFormat="1" applyFont="1" applyFill="1" applyBorder="1" applyAlignment="1" applyProtection="1">
      <alignment vertical="center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164" fontId="12" fillId="0" borderId="32" xfId="0" applyNumberFormat="1" applyFont="1" applyFill="1" applyBorder="1" applyAlignment="1">
      <alignment horizontal="center" vertical="center"/>
    </xf>
    <xf numFmtId="164" fontId="12" fillId="0" borderId="32" xfId="0" applyNumberFormat="1" applyFont="1" applyFill="1" applyBorder="1" applyAlignment="1">
      <alignment horizontal="center" vertical="center" wrapText="1"/>
    </xf>
    <xf numFmtId="164" fontId="12" fillId="0" borderId="33" xfId="0" applyNumberFormat="1" applyFont="1" applyFill="1" applyBorder="1" applyAlignment="1">
      <alignment horizontal="center" vertical="center"/>
    </xf>
    <xf numFmtId="164" fontId="12" fillId="0" borderId="34" xfId="0" applyNumberFormat="1" applyFont="1" applyFill="1" applyBorder="1" applyAlignment="1">
      <alignment horizontal="center" vertical="center"/>
    </xf>
    <xf numFmtId="164" fontId="12" fillId="0" borderId="34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left" vertical="center"/>
    </xf>
    <xf numFmtId="3" fontId="13" fillId="0" borderId="36" xfId="0" applyNumberFormat="1" applyFont="1" applyFill="1" applyBorder="1" applyAlignment="1" applyProtection="1">
      <alignment horizontal="right" vertical="center"/>
      <protection locked="0"/>
    </xf>
    <xf numFmtId="164" fontId="12" fillId="0" borderId="37" xfId="0" applyNumberFormat="1" applyFont="1" applyFill="1" applyBorder="1" applyAlignment="1">
      <alignment horizontal="right" vertical="center" wrapText="1"/>
    </xf>
    <xf numFmtId="49" fontId="18" fillId="0" borderId="38" xfId="0" applyNumberFormat="1" applyFont="1" applyFill="1" applyBorder="1" applyAlignment="1" quotePrefix="1">
      <alignment horizontal="left" vertical="center" indent="1"/>
    </xf>
    <xf numFmtId="3" fontId="18" fillId="0" borderId="39" xfId="0" applyNumberFormat="1" applyFont="1" applyFill="1" applyBorder="1" applyAlignment="1" applyProtection="1">
      <alignment horizontal="right" vertical="center"/>
      <protection locked="0"/>
    </xf>
    <xf numFmtId="3" fontId="18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9" xfId="0" applyNumberFormat="1" applyFont="1" applyFill="1" applyBorder="1" applyAlignment="1">
      <alignment horizontal="right" vertical="center" wrapText="1"/>
    </xf>
    <xf numFmtId="49" fontId="13" fillId="0" borderId="38" xfId="0" applyNumberFormat="1" applyFont="1" applyFill="1" applyBorder="1" applyAlignment="1">
      <alignment horizontal="left" vertical="center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49" fontId="13" fillId="0" borderId="40" xfId="0" applyNumberFormat="1" applyFont="1" applyFill="1" applyBorder="1" applyAlignment="1" applyProtection="1">
      <alignment horizontal="left" vertical="center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49" fontId="12" fillId="0" borderId="42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32" xfId="0" applyNumberFormat="1" applyFont="1" applyFill="1" applyBorder="1" applyAlignment="1">
      <alignment vertical="center"/>
    </xf>
    <xf numFmtId="4" fontId="13" fillId="0" borderId="32" xfId="0" applyNumberFormat="1" applyFont="1" applyFill="1" applyBorder="1" applyAlignment="1" applyProtection="1">
      <alignment vertical="center" wrapText="1"/>
      <protection locked="0"/>
    </xf>
    <xf numFmtId="49" fontId="12" fillId="0" borderId="43" xfId="0" applyNumberFormat="1" applyFont="1" applyFill="1" applyBorder="1" applyAlignment="1" applyProtection="1">
      <alignment vertical="center"/>
      <protection locked="0"/>
    </xf>
    <xf numFmtId="49" fontId="12" fillId="0" borderId="43" xfId="0" applyNumberFormat="1" applyFont="1" applyFill="1" applyBorder="1" applyAlignment="1" applyProtection="1">
      <alignment horizontal="right" vertical="center"/>
      <protection locked="0"/>
    </xf>
    <xf numFmtId="3" fontId="13" fillId="0" borderId="4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8" xfId="0" applyNumberFormat="1" applyFont="1" applyFill="1" applyBorder="1" applyAlignment="1" applyProtection="1">
      <alignment vertical="center"/>
      <protection locked="0"/>
    </xf>
    <xf numFmtId="49" fontId="12" fillId="0" borderId="28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44" xfId="0" applyNumberFormat="1" applyFont="1" applyFill="1" applyBorder="1" applyAlignment="1">
      <alignment horizontal="left" vertical="center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/>
      <protection/>
    </xf>
    <xf numFmtId="49" fontId="13" fillId="0" borderId="21" xfId="0" applyNumberFormat="1" applyFont="1" applyFill="1" applyBorder="1" applyAlignment="1">
      <alignment horizontal="left" vertical="center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 locked="0"/>
    </xf>
    <xf numFmtId="49" fontId="13" fillId="0" borderId="22" xfId="0" applyNumberFormat="1" applyFont="1" applyFill="1" applyBorder="1" applyAlignment="1" applyProtection="1">
      <alignment horizontal="left" vertical="center"/>
      <protection locked="0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32" xfId="0" applyNumberFormat="1" applyFont="1" applyFill="1" applyBorder="1" applyAlignment="1">
      <alignment horizontal="left" vertical="center" wrapText="1" indent="1"/>
    </xf>
    <xf numFmtId="171" fontId="27" fillId="0" borderId="0" xfId="0" applyNumberFormat="1" applyFont="1" applyFill="1" applyBorder="1" applyAlignment="1">
      <alignment horizontal="left" vertical="center" wrapText="1"/>
    </xf>
    <xf numFmtId="164" fontId="12" fillId="0" borderId="3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" fontId="12" fillId="0" borderId="37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4" fontId="12" fillId="0" borderId="46" xfId="0" applyNumberFormat="1" applyFont="1" applyFill="1" applyBorder="1" applyAlignment="1">
      <alignment horizontal="right" vertical="center" wrapText="1"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9" xfId="0" applyFont="1" applyFill="1" applyBorder="1" applyAlignment="1" applyProtection="1">
      <alignment horizontal="center" vertical="center" wrapText="1"/>
      <protection/>
    </xf>
    <xf numFmtId="3" fontId="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55" xfId="0" applyNumberFormat="1" applyFont="1" applyFill="1" applyBorder="1" applyAlignment="1" applyProtection="1">
      <alignment horizontal="centerContinuous" vertical="center"/>
      <protection/>
    </xf>
    <xf numFmtId="164" fontId="6" fillId="0" borderId="56" xfId="0" applyNumberFormat="1" applyFont="1" applyFill="1" applyBorder="1" applyAlignment="1" applyProtection="1">
      <alignment horizontal="centerContinuous" vertical="center"/>
      <protection/>
    </xf>
    <xf numFmtId="164" fontId="6" fillId="0" borderId="57" xfId="0" applyNumberFormat="1" applyFont="1" applyFill="1" applyBorder="1" applyAlignment="1" applyProtection="1">
      <alignment horizontal="centerContinuous" vertical="center"/>
      <protection/>
    </xf>
    <xf numFmtId="164" fontId="19" fillId="0" borderId="0" xfId="0" applyNumberFormat="1" applyFont="1" applyFill="1" applyAlignment="1">
      <alignment vertical="center"/>
    </xf>
    <xf numFmtId="164" fontId="6" fillId="0" borderId="29" xfId="0" applyNumberFormat="1" applyFont="1" applyFill="1" applyBorder="1" applyAlignment="1" applyProtection="1">
      <alignment horizontal="center" vertical="center"/>
      <protection/>
    </xf>
    <xf numFmtId="164" fontId="6" fillId="0" borderId="58" xfId="0" applyNumberFormat="1" applyFont="1" applyFill="1" applyBorder="1" applyAlignment="1" applyProtection="1">
      <alignment horizontal="center" vertical="center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0" applyNumberFormat="1" applyFont="1" applyFill="1" applyBorder="1" applyAlignment="1" applyProtection="1">
      <alignment horizontal="left" vertical="center" wrapText="1" indent="1"/>
      <protection/>
    </xf>
    <xf numFmtId="1" fontId="3" fillId="4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12" fillId="0" borderId="55" xfId="0" applyNumberFormat="1" applyFont="1" applyFill="1" applyBorder="1" applyAlignment="1" applyProtection="1">
      <alignment vertical="center" wrapText="1"/>
      <protection/>
    </xf>
    <xf numFmtId="164" fontId="12" fillId="0" borderId="37" xfId="0" applyNumberFormat="1" applyFont="1" applyFill="1" applyBorder="1" applyAlignment="1" applyProtection="1">
      <alignment vertical="center" wrapText="1"/>
      <protection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4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61" xfId="0" applyNumberFormat="1" applyFont="1" applyFill="1" applyBorder="1" applyAlignment="1" applyProtection="1">
      <alignment vertical="center" wrapText="1"/>
      <protection/>
    </xf>
    <xf numFmtId="164" fontId="13" fillId="0" borderId="27" xfId="0" applyNumberFormat="1" applyFont="1" applyFill="1" applyBorder="1" applyAlignment="1" applyProtection="1">
      <alignment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40" borderId="62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62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64" fontId="13" fillId="0" borderId="30" xfId="0" applyNumberFormat="1" applyFont="1" applyFill="1" applyBorder="1" applyAlignment="1" applyProtection="1">
      <alignment vertical="center"/>
      <protection locked="0"/>
    </xf>
    <xf numFmtId="164" fontId="12" fillId="0" borderId="30" xfId="0" applyNumberFormat="1" applyFont="1" applyFill="1" applyBorder="1" applyAlignment="1" applyProtection="1">
      <alignment vertical="center"/>
      <protection/>
    </xf>
    <xf numFmtId="164" fontId="13" fillId="0" borderId="31" xfId="0" applyNumberFormat="1" applyFont="1" applyFill="1" applyBorder="1" applyAlignment="1" applyProtection="1">
      <alignment vertical="center"/>
      <protection locked="0"/>
    </xf>
    <xf numFmtId="0" fontId="13" fillId="0" borderId="63" xfId="0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vertical="center" wrapText="1"/>
      <protection/>
    </xf>
    <xf numFmtId="164" fontId="13" fillId="0" borderId="51" xfId="0" applyNumberFormat="1" applyFont="1" applyFill="1" applyBorder="1" applyAlignment="1" applyProtection="1">
      <alignment vertical="center"/>
      <protection locked="0"/>
    </xf>
    <xf numFmtId="164" fontId="13" fillId="0" borderId="58" xfId="0" applyNumberFormat="1" applyFont="1" applyFill="1" applyBorder="1" applyAlignment="1" applyProtection="1">
      <alignment vertical="center"/>
      <protection locked="0"/>
    </xf>
    <xf numFmtId="164" fontId="12" fillId="0" borderId="62" xfId="0" applyNumberFormat="1" applyFont="1" applyFill="1" applyBorder="1" applyAlignment="1" applyProtection="1">
      <alignment vertical="center"/>
      <protection/>
    </xf>
    <xf numFmtId="164" fontId="12" fillId="0" borderId="59" xfId="0" applyNumberFormat="1" applyFont="1" applyFill="1" applyBorder="1" applyAlignment="1" applyProtection="1">
      <alignment vertical="center"/>
      <protection/>
    </xf>
    <xf numFmtId="164" fontId="6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 wrapText="1"/>
    </xf>
    <xf numFmtId="0" fontId="28" fillId="0" borderId="0" xfId="128" applyFill="1">
      <alignment/>
      <protection/>
    </xf>
    <xf numFmtId="172" fontId="16" fillId="0" borderId="26" xfId="128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128" applyFont="1" applyFill="1">
      <alignment/>
      <protection/>
    </xf>
    <xf numFmtId="0" fontId="28" fillId="0" borderId="0" xfId="128" applyFont="1" applyFill="1">
      <alignment/>
      <protection/>
    </xf>
    <xf numFmtId="3" fontId="28" fillId="0" borderId="0" xfId="128" applyNumberFormat="1" applyFont="1" applyFill="1" applyAlignment="1">
      <alignment horizontal="center"/>
      <protection/>
    </xf>
    <xf numFmtId="0" fontId="0" fillId="0" borderId="0" xfId="127" applyFill="1" applyAlignment="1" applyProtection="1">
      <alignment vertical="center" wrapText="1"/>
      <protection/>
    </xf>
    <xf numFmtId="0" fontId="0" fillId="0" borderId="0" xfId="127" applyFill="1" applyAlignment="1" applyProtection="1">
      <alignment horizontal="center" vertical="center"/>
      <protection/>
    </xf>
    <xf numFmtId="49" fontId="0" fillId="0" borderId="0" xfId="127" applyNumberFormat="1" applyFont="1" applyFill="1" applyAlignment="1" applyProtection="1">
      <alignment horizontal="center" vertical="center"/>
      <protection/>
    </xf>
    <xf numFmtId="0" fontId="28" fillId="0" borderId="0" xfId="128" applyFont="1" applyFill="1" applyAlignment="1">
      <alignment/>
      <protection/>
    </xf>
    <xf numFmtId="0" fontId="11" fillId="0" borderId="0" xfId="127" applyFont="1" applyFill="1" applyAlignment="1" applyProtection="1">
      <alignment horizontal="center" vertical="center"/>
      <protection/>
    </xf>
    <xf numFmtId="0" fontId="15" fillId="0" borderId="24" xfId="128" applyFont="1" applyFill="1" applyBorder="1" applyAlignment="1">
      <alignment horizontal="center" vertical="center" wrapText="1"/>
      <protection/>
    </xf>
    <xf numFmtId="3" fontId="16" fillId="0" borderId="64" xfId="128" applyNumberFormat="1" applyFont="1" applyFill="1" applyBorder="1" applyProtection="1">
      <alignment/>
      <protection locked="0"/>
    </xf>
    <xf numFmtId="3" fontId="16" fillId="0" borderId="26" xfId="128" applyNumberFormat="1" applyFont="1" applyFill="1" applyBorder="1" applyProtection="1">
      <alignment/>
      <protection locked="0"/>
    </xf>
    <xf numFmtId="3" fontId="16" fillId="0" borderId="65" xfId="128" applyNumberFormat="1" applyFont="1" applyFill="1" applyBorder="1" applyProtection="1">
      <alignment/>
      <protection locked="0"/>
    </xf>
    <xf numFmtId="0" fontId="32" fillId="0" borderId="0" xfId="0" applyFont="1" applyFill="1" applyAlignment="1">
      <alignment horizontal="right"/>
    </xf>
    <xf numFmtId="0" fontId="0" fillId="0" borderId="0" xfId="0" applyAlignment="1" applyProtection="1">
      <alignment/>
      <protection/>
    </xf>
    <xf numFmtId="0" fontId="34" fillId="0" borderId="0" xfId="0" applyFont="1" applyAlignment="1" applyProtection="1">
      <alignment horizontal="right"/>
      <protection/>
    </xf>
    <xf numFmtId="0" fontId="35" fillId="0" borderId="0" xfId="0" applyFont="1" applyAlignment="1" applyProtection="1">
      <alignment horizontal="center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0" fontId="35" fillId="0" borderId="44" xfId="0" applyFont="1" applyBorder="1" applyAlignment="1" applyProtection="1">
      <alignment horizontal="center" vertical="top" wrapText="1"/>
      <protection/>
    </xf>
    <xf numFmtId="0" fontId="35" fillId="0" borderId="21" xfId="0" applyFont="1" applyBorder="1" applyAlignment="1" applyProtection="1">
      <alignment horizontal="center" vertical="top" wrapText="1"/>
      <protection/>
    </xf>
    <xf numFmtId="166" fontId="36" fillId="0" borderId="23" xfId="75" applyNumberFormat="1" applyFont="1" applyBorder="1" applyAlignment="1" applyProtection="1">
      <alignment horizontal="center" vertical="center" wrapText="1"/>
      <protection/>
    </xf>
    <xf numFmtId="166" fontId="36" fillId="0" borderId="64" xfId="75" applyNumberFormat="1" applyFont="1" applyBorder="1" applyAlignment="1" applyProtection="1">
      <alignment horizontal="center" vertical="top" wrapText="1"/>
      <protection locked="0"/>
    </xf>
    <xf numFmtId="166" fontId="36" fillId="0" borderId="26" xfId="75" applyNumberFormat="1" applyFont="1" applyBorder="1" applyAlignment="1" applyProtection="1">
      <alignment horizontal="center" vertical="top" wrapText="1"/>
      <protection locked="0"/>
    </xf>
    <xf numFmtId="166" fontId="36" fillId="0" borderId="24" xfId="75" applyNumberFormat="1" applyFont="1" applyBorder="1" applyAlignment="1" applyProtection="1">
      <alignment horizontal="center" vertical="top" wrapText="1"/>
      <protection/>
    </xf>
    <xf numFmtId="1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44" xfId="0" applyFont="1" applyFill="1" applyBorder="1" applyAlignment="1" applyProtection="1">
      <alignment horizontal="right" vertical="center" wrapText="1" indent="1"/>
      <protection/>
    </xf>
    <xf numFmtId="0" fontId="13" fillId="0" borderId="48" xfId="0" applyFont="1" applyFill="1" applyBorder="1" applyAlignment="1" applyProtection="1">
      <alignment horizontal="left"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/>
    </xf>
    <xf numFmtId="164" fontId="13" fillId="0" borderId="64" xfId="0" applyNumberFormat="1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 applyProtection="1">
      <alignment horizontal="right" vertical="center" wrapText="1" indent="1"/>
      <protection/>
    </xf>
    <xf numFmtId="0" fontId="13" fillId="0" borderId="19" xfId="0" applyFont="1" applyFill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 applyProtection="1">
      <alignment horizontal="left" vertical="center" wrapText="1"/>
      <protection locked="0"/>
    </xf>
    <xf numFmtId="164" fontId="13" fillId="0" borderId="65" xfId="0" applyNumberFormat="1" applyFont="1" applyFill="1" applyBorder="1" applyAlignment="1" applyProtection="1">
      <alignment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13" fillId="0" borderId="27" xfId="126" applyFont="1" applyFill="1" applyBorder="1" applyAlignment="1" applyProtection="1">
      <alignment horizontal="left" vertical="center" wrapText="1" indent="1"/>
      <protection/>
    </xf>
    <xf numFmtId="0" fontId="13" fillId="0" borderId="19" xfId="126" applyFont="1" applyFill="1" applyBorder="1" applyAlignment="1" applyProtection="1">
      <alignment horizontal="left" vertical="center" wrapText="1" indent="1"/>
      <protection/>
    </xf>
    <xf numFmtId="0" fontId="13" fillId="0" borderId="48" xfId="126" applyFont="1" applyFill="1" applyBorder="1" applyAlignment="1" applyProtection="1">
      <alignment horizontal="left" vertical="center" wrapText="1" indent="1"/>
      <protection/>
    </xf>
    <xf numFmtId="0" fontId="13" fillId="0" borderId="50" xfId="126" applyFont="1" applyFill="1" applyBorder="1" applyAlignment="1" applyProtection="1">
      <alignment horizontal="left" vertical="center" wrapText="1" indent="1"/>
      <protection/>
    </xf>
    <xf numFmtId="0" fontId="13" fillId="0" borderId="67" xfId="126" applyFont="1" applyFill="1" applyBorder="1" applyAlignment="1" applyProtection="1">
      <alignment horizontal="left" vertical="center" wrapText="1" indent="1"/>
      <protection/>
    </xf>
    <xf numFmtId="0" fontId="13" fillId="0" borderId="20" xfId="126" applyFont="1" applyFill="1" applyBorder="1" applyAlignment="1" applyProtection="1">
      <alignment horizontal="left" vertical="center" wrapText="1" indent="1"/>
      <protection/>
    </xf>
    <xf numFmtId="0" fontId="13" fillId="0" borderId="0" xfId="126" applyFont="1" applyFill="1" applyBorder="1" applyAlignment="1" applyProtection="1">
      <alignment horizontal="left" vertical="center" wrapText="1" indent="1"/>
      <protection/>
    </xf>
    <xf numFmtId="0" fontId="12" fillId="0" borderId="23" xfId="126" applyFont="1" applyFill="1" applyBorder="1" applyAlignment="1" applyProtection="1">
      <alignment horizontal="left" vertical="center" wrapText="1" indent="1"/>
      <protection/>
    </xf>
    <xf numFmtId="0" fontId="12" fillId="0" borderId="23" xfId="126" applyFont="1" applyFill="1" applyBorder="1" applyAlignment="1" applyProtection="1">
      <alignment vertical="center" wrapText="1"/>
      <protection/>
    </xf>
    <xf numFmtId="0" fontId="12" fillId="0" borderId="25" xfId="126" applyFont="1" applyFill="1" applyBorder="1" applyAlignment="1" applyProtection="1">
      <alignment horizontal="center" vertical="center" wrapText="1"/>
      <protection/>
    </xf>
    <xf numFmtId="0" fontId="12" fillId="0" borderId="23" xfId="126" applyFont="1" applyFill="1" applyBorder="1" applyAlignment="1" applyProtection="1">
      <alignment horizontal="left" vertical="center" wrapText="1" indent="1"/>
      <protection/>
    </xf>
    <xf numFmtId="0" fontId="13" fillId="0" borderId="19" xfId="126" applyFont="1" applyFill="1" applyBorder="1" applyAlignment="1" applyProtection="1">
      <alignment horizontal="left" indent="6"/>
      <protection/>
    </xf>
    <xf numFmtId="0" fontId="13" fillId="0" borderId="19" xfId="126" applyFont="1" applyFill="1" applyBorder="1" applyAlignment="1" applyProtection="1">
      <alignment horizontal="left" vertical="center" wrapText="1" indent="6"/>
      <protection/>
    </xf>
    <xf numFmtId="0" fontId="13" fillId="0" borderId="20" xfId="126" applyFont="1" applyFill="1" applyBorder="1" applyAlignment="1" applyProtection="1">
      <alignment horizontal="left" vertical="center" wrapText="1" indent="6"/>
      <protection/>
    </xf>
    <xf numFmtId="0" fontId="13" fillId="0" borderId="51" xfId="126" applyFont="1" applyFill="1" applyBorder="1" applyAlignment="1" applyProtection="1">
      <alignment horizontal="left" vertical="center" wrapText="1" indent="6"/>
      <protection/>
    </xf>
    <xf numFmtId="164" fontId="12" fillId="0" borderId="49" xfId="126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12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12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12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12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12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12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9" xfId="0" applyFont="1" applyBorder="1" applyAlignment="1" applyProtection="1">
      <alignment horizontal="left" vertical="center" wrapText="1" indent="1"/>
      <protection/>
    </xf>
    <xf numFmtId="0" fontId="16" fillId="0" borderId="20" xfId="0" applyFont="1" applyBorder="1" applyAlignment="1" applyProtection="1">
      <alignment horizontal="left" vertical="center" wrapText="1" indent="1"/>
      <protection/>
    </xf>
    <xf numFmtId="164" fontId="12" fillId="0" borderId="24" xfId="126" applyNumberFormat="1" applyFont="1" applyFill="1" applyBorder="1" applyAlignment="1" applyProtection="1">
      <alignment horizontal="right" vertical="center" wrapText="1" indent="1"/>
      <protection/>
    </xf>
    <xf numFmtId="0" fontId="15" fillId="0" borderId="70" xfId="0" applyFont="1" applyBorder="1" applyAlignment="1" applyProtection="1">
      <alignment horizontal="left" vertical="center" wrapText="1" indent="1"/>
      <protection/>
    </xf>
    <xf numFmtId="0" fontId="2" fillId="0" borderId="0" xfId="126" applyFont="1" applyFill="1" applyProtection="1">
      <alignment/>
      <protection/>
    </xf>
    <xf numFmtId="0" fontId="2" fillId="0" borderId="0" xfId="126" applyFont="1" applyFill="1" applyAlignment="1" applyProtection="1">
      <alignment horizontal="right" vertical="center" indent="1"/>
      <protection/>
    </xf>
    <xf numFmtId="164" fontId="12" fillId="0" borderId="23" xfId="126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12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12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12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2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12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126" applyNumberFormat="1" applyFont="1" applyFill="1" applyBorder="1" applyAlignment="1" applyProtection="1">
      <alignment horizontal="right" vertical="center" wrapText="1" indent="1"/>
      <protection/>
    </xf>
    <xf numFmtId="0" fontId="13" fillId="0" borderId="48" xfId="126" applyFont="1" applyFill="1" applyBorder="1" applyAlignment="1" applyProtection="1">
      <alignment horizontal="left" vertical="center" wrapText="1" indent="6"/>
      <protection/>
    </xf>
    <xf numFmtId="0" fontId="2" fillId="0" borderId="0" xfId="126" applyFill="1" applyProtection="1">
      <alignment/>
      <protection/>
    </xf>
    <xf numFmtId="0" fontId="13" fillId="0" borderId="0" xfId="126" applyFont="1" applyFill="1" applyProtection="1">
      <alignment/>
      <protection/>
    </xf>
    <xf numFmtId="0" fontId="0" fillId="0" borderId="0" xfId="126" applyFont="1" applyFill="1" applyProtection="1">
      <alignment/>
      <protection/>
    </xf>
    <xf numFmtId="0" fontId="16" fillId="0" borderId="48" xfId="0" applyFont="1" applyBorder="1" applyAlignment="1" applyProtection="1">
      <alignment horizontal="left" wrapText="1" indent="1"/>
      <protection/>
    </xf>
    <xf numFmtId="0" fontId="16" fillId="0" borderId="19" xfId="0" applyFont="1" applyBorder="1" applyAlignment="1" applyProtection="1">
      <alignment horizontal="left" wrapText="1" indent="1"/>
      <protection/>
    </xf>
    <xf numFmtId="0" fontId="16" fillId="0" borderId="20" xfId="0" applyFont="1" applyBorder="1" applyAlignment="1" applyProtection="1">
      <alignment horizontal="left" wrapText="1" indent="1"/>
      <protection/>
    </xf>
    <xf numFmtId="0" fontId="2" fillId="0" borderId="0" xfId="126" applyFill="1" applyAlignment="1" applyProtection="1">
      <alignment/>
      <protection/>
    </xf>
    <xf numFmtId="0" fontId="5" fillId="0" borderId="0" xfId="126" applyFont="1" applyFill="1" applyProtection="1">
      <alignment/>
      <protection/>
    </xf>
    <xf numFmtId="164" fontId="12" fillId="0" borderId="49" xfId="126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12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12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9" xfId="126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26" applyFill="1" applyAlignment="1" applyProtection="1">
      <alignment horizontal="left" vertical="center" indent="1"/>
      <protection/>
    </xf>
    <xf numFmtId="164" fontId="6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74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2" fillId="0" borderId="75" xfId="0" applyNumberFormat="1" applyFont="1" applyFill="1" applyBorder="1" applyAlignment="1" applyProtection="1">
      <alignment horizontal="center" vertical="center" wrapText="1"/>
      <protection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8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19" fillId="0" borderId="0" xfId="0" applyFont="1" applyFill="1" applyAlignment="1" applyProtection="1">
      <alignment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7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4" fontId="13" fillId="0" borderId="77" xfId="12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2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12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12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126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12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4" xfId="0" applyNumberFormat="1" applyFont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70" xfId="0" applyFont="1" applyBorder="1" applyAlignment="1" applyProtection="1">
      <alignment wrapText="1"/>
      <protection/>
    </xf>
    <xf numFmtId="164" fontId="15" fillId="0" borderId="24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44" xfId="126" applyNumberFormat="1" applyFont="1" applyFill="1" applyBorder="1" applyAlignment="1" applyProtection="1">
      <alignment horizontal="center" vertical="center" wrapText="1"/>
      <protection/>
    </xf>
    <xf numFmtId="49" fontId="13" fillId="0" borderId="21" xfId="126" applyNumberFormat="1" applyFont="1" applyFill="1" applyBorder="1" applyAlignment="1" applyProtection="1">
      <alignment horizontal="center" vertical="center" wrapText="1"/>
      <protection/>
    </xf>
    <xf numFmtId="49" fontId="13" fillId="0" borderId="22" xfId="126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wrapText="1"/>
      <protection/>
    </xf>
    <xf numFmtId="0" fontId="16" fillId="0" borderId="44" xfId="0" applyFont="1" applyBorder="1" applyAlignment="1" applyProtection="1">
      <alignment horizontal="center" wrapText="1"/>
      <protection/>
    </xf>
    <xf numFmtId="0" fontId="16" fillId="0" borderId="21" xfId="0" applyFont="1" applyBorder="1" applyAlignment="1" applyProtection="1">
      <alignment horizontal="center" wrapText="1"/>
      <protection/>
    </xf>
    <xf numFmtId="0" fontId="16" fillId="0" borderId="22" xfId="0" applyFont="1" applyBorder="1" applyAlignment="1" applyProtection="1">
      <alignment horizontal="center" wrapText="1"/>
      <protection/>
    </xf>
    <xf numFmtId="0" fontId="17" fillId="0" borderId="74" xfId="0" applyFont="1" applyBorder="1" applyAlignment="1" applyProtection="1">
      <alignment horizontal="center" wrapText="1"/>
      <protection/>
    </xf>
    <xf numFmtId="49" fontId="13" fillId="0" borderId="60" xfId="126" applyNumberFormat="1" applyFont="1" applyFill="1" applyBorder="1" applyAlignment="1" applyProtection="1">
      <alignment horizontal="center" vertical="center" wrapText="1"/>
      <protection/>
    </xf>
    <xf numFmtId="49" fontId="13" fillId="0" borderId="73" xfId="126" applyNumberFormat="1" applyFont="1" applyFill="1" applyBorder="1" applyAlignment="1" applyProtection="1">
      <alignment horizontal="center" vertical="center" wrapText="1"/>
      <protection/>
    </xf>
    <xf numFmtId="0" fontId="17" fillId="0" borderId="74" xfId="0" applyFont="1" applyBorder="1" applyAlignment="1" applyProtection="1">
      <alignment horizontal="center" vertical="center" wrapText="1"/>
      <protection/>
    </xf>
    <xf numFmtId="0" fontId="6" fillId="0" borderId="7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70" xfId="126" applyFont="1" applyFill="1" applyBorder="1" applyAlignment="1" applyProtection="1">
      <alignment horizontal="left" vertical="center" wrapText="1" inden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22" fillId="0" borderId="52" xfId="0" applyFont="1" applyBorder="1" applyAlignment="1" applyProtection="1">
      <alignment horizontal="left" wrapText="1" inden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13" fillId="0" borderId="60" xfId="0" applyNumberFormat="1" applyFont="1" applyFill="1" applyBorder="1" applyAlignment="1" applyProtection="1">
      <alignment horizontal="center" vertical="center" wrapText="1"/>
      <protection/>
    </xf>
    <xf numFmtId="49" fontId="13" fillId="0" borderId="21" xfId="0" applyNumberFormat="1" applyFont="1" applyFill="1" applyBorder="1" applyAlignment="1" applyProtection="1">
      <alignment horizontal="center" vertical="center" wrapText="1"/>
      <protection/>
    </xf>
    <xf numFmtId="49" fontId="13" fillId="0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48" xfId="126" applyFont="1" applyFill="1" applyBorder="1" applyAlignment="1" applyProtection="1">
      <alignment horizontal="left" vertical="center" wrapText="1" indent="1"/>
      <protection/>
    </xf>
    <xf numFmtId="0" fontId="13" fillId="0" borderId="19" xfId="126" applyFont="1" applyFill="1" applyBorder="1" applyAlignment="1" applyProtection="1">
      <alignment horizontal="left" vertical="center" wrapText="1" indent="1"/>
      <protection/>
    </xf>
    <xf numFmtId="0" fontId="13" fillId="0" borderId="70" xfId="126" applyFont="1" applyFill="1" applyBorder="1" applyAlignment="1" applyProtection="1" quotePrefix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5" xfId="0" applyFont="1" applyFill="1" applyBorder="1" applyAlignment="1">
      <alignment horizontal="center" vertical="center" wrapText="1"/>
    </xf>
    <xf numFmtId="164" fontId="13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64" fontId="12" fillId="0" borderId="42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28" applyFill="1" applyProtection="1">
      <alignment/>
      <protection/>
    </xf>
    <xf numFmtId="0" fontId="38" fillId="0" borderId="0" xfId="128" applyFont="1" applyFill="1" applyProtection="1">
      <alignment/>
      <protection/>
    </xf>
    <xf numFmtId="0" fontId="27" fillId="0" borderId="63" xfId="128" applyFont="1" applyFill="1" applyBorder="1" applyAlignment="1" applyProtection="1">
      <alignment horizontal="center" vertical="center" wrapText="1"/>
      <protection/>
    </xf>
    <xf numFmtId="0" fontId="27" fillId="0" borderId="59" xfId="128" applyFont="1" applyFill="1" applyBorder="1" applyAlignment="1" applyProtection="1">
      <alignment horizontal="center" vertical="center" wrapText="1"/>
      <protection/>
    </xf>
    <xf numFmtId="0" fontId="28" fillId="0" borderId="0" xfId="128" applyFill="1" applyAlignment="1" applyProtection="1">
      <alignment horizontal="center" vertical="center"/>
      <protection/>
    </xf>
    <xf numFmtId="0" fontId="17" fillId="0" borderId="60" xfId="128" applyFont="1" applyFill="1" applyBorder="1" applyAlignment="1" applyProtection="1">
      <alignment vertical="center" wrapText="1"/>
      <protection/>
    </xf>
    <xf numFmtId="0" fontId="28" fillId="0" borderId="0" xfId="128" applyFill="1" applyAlignment="1" applyProtection="1">
      <alignment vertical="center"/>
      <protection/>
    </xf>
    <xf numFmtId="0" fontId="17" fillId="0" borderId="21" xfId="128" applyFont="1" applyFill="1" applyBorder="1" applyAlignment="1" applyProtection="1">
      <alignment vertical="center" wrapText="1"/>
      <protection/>
    </xf>
    <xf numFmtId="0" fontId="26" fillId="0" borderId="21" xfId="128" applyFont="1" applyFill="1" applyBorder="1" applyAlignment="1" applyProtection="1">
      <alignment horizontal="left" vertical="center" wrapText="1" indent="1"/>
      <protection/>
    </xf>
    <xf numFmtId="0" fontId="16" fillId="0" borderId="0" xfId="128" applyFont="1" applyFill="1" applyProtection="1">
      <alignment/>
      <protection/>
    </xf>
    <xf numFmtId="3" fontId="28" fillId="0" borderId="0" xfId="128" applyNumberFormat="1" applyFont="1" applyFill="1" applyProtection="1">
      <alignment/>
      <protection/>
    </xf>
    <xf numFmtId="0" fontId="28" fillId="0" borderId="0" xfId="128" applyFont="1" applyFill="1" applyProtection="1">
      <alignment/>
      <protection/>
    </xf>
    <xf numFmtId="0" fontId="0" fillId="0" borderId="0" xfId="127" applyFill="1" applyAlignment="1" applyProtection="1">
      <alignment vertical="center"/>
      <protection/>
    </xf>
    <xf numFmtId="0" fontId="0" fillId="0" borderId="0" xfId="127" applyFont="1" applyFill="1" applyAlignment="1" applyProtection="1">
      <alignment vertical="center"/>
      <protection/>
    </xf>
    <xf numFmtId="0" fontId="28" fillId="0" borderId="0" xfId="128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174" fontId="12" fillId="0" borderId="24" xfId="127" applyNumberFormat="1" applyFont="1" applyFill="1" applyBorder="1" applyAlignment="1" applyProtection="1">
      <alignment vertical="center"/>
      <protection/>
    </xf>
    <xf numFmtId="0" fontId="39" fillId="0" borderId="0" xfId="128" applyFont="1" applyFill="1">
      <alignment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51" xfId="126" applyNumberFormat="1" applyFont="1" applyFill="1" applyBorder="1" applyAlignment="1" applyProtection="1">
      <alignment horizontal="center" vertical="center" wrapText="1"/>
      <protection/>
    </xf>
    <xf numFmtId="1" fontId="3" fillId="40" borderId="54" xfId="0" applyNumberFormat="1" applyFont="1" applyFill="1" applyBorder="1" applyAlignment="1" applyProtection="1">
      <alignment horizontal="center" vertical="center" wrapText="1"/>
      <protection/>
    </xf>
    <xf numFmtId="1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6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85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86" xfId="0" applyFont="1" applyFill="1" applyBorder="1" applyAlignment="1" applyProtection="1">
      <alignment horizontal="lef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9" xfId="0" applyNumberFormat="1" applyFill="1" applyBorder="1" applyAlignment="1">
      <alignment vertical="center" wrapText="1"/>
    </xf>
    <xf numFmtId="164" fontId="13" fillId="0" borderId="8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9" xfId="0" applyBorder="1" applyAlignment="1">
      <alignment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19" xfId="0" applyFont="1" applyBorder="1" applyAlignment="1">
      <alignment horizontal="center" wrapText="1"/>
    </xf>
    <xf numFmtId="0" fontId="46" fillId="0" borderId="48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41" fontId="0" fillId="0" borderId="19" xfId="0" applyNumberFormat="1" applyBorder="1" applyAlignment="1">
      <alignment/>
    </xf>
    <xf numFmtId="0" fontId="47" fillId="0" borderId="48" xfId="0" applyFont="1" applyBorder="1" applyAlignment="1">
      <alignment/>
    </xf>
    <xf numFmtId="0" fontId="0" fillId="15" borderId="48" xfId="0" applyFill="1" applyBorder="1" applyAlignment="1">
      <alignment/>
    </xf>
    <xf numFmtId="1" fontId="46" fillId="0" borderId="19" xfId="0" applyNumberFormat="1" applyFont="1" applyFill="1" applyBorder="1" applyAlignment="1">
      <alignment horizontal="right"/>
    </xf>
    <xf numFmtId="41" fontId="47" fillId="0" borderId="48" xfId="0" applyNumberFormat="1" applyFont="1" applyFill="1" applyBorder="1" applyAlignment="1">
      <alignment/>
    </xf>
    <xf numFmtId="1" fontId="47" fillId="0" borderId="19" xfId="0" applyNumberFormat="1" applyFont="1" applyBorder="1" applyAlignment="1">
      <alignment/>
    </xf>
    <xf numFmtId="41" fontId="48" fillId="0" borderId="19" xfId="0" applyNumberFormat="1" applyFont="1" applyBorder="1" applyAlignment="1">
      <alignment/>
    </xf>
    <xf numFmtId="41" fontId="48" fillId="0" borderId="0" xfId="0" applyNumberFormat="1" applyFont="1" applyAlignment="1">
      <alignment/>
    </xf>
    <xf numFmtId="0" fontId="47" fillId="0" borderId="19" xfId="0" applyFont="1" applyBorder="1" applyAlignment="1">
      <alignment wrapText="1"/>
    </xf>
    <xf numFmtId="41" fontId="47" fillId="0" borderId="19" xfId="0" applyNumberFormat="1" applyFont="1" applyBorder="1" applyAlignment="1">
      <alignment/>
    </xf>
    <xf numFmtId="0" fontId="44" fillId="0" borderId="19" xfId="0" applyFont="1" applyBorder="1" applyAlignment="1">
      <alignment wrapText="1"/>
    </xf>
    <xf numFmtId="41" fontId="47" fillId="0" borderId="19" xfId="0" applyNumberFormat="1" applyFont="1" applyBorder="1" applyAlignment="1">
      <alignment horizontal="right"/>
    </xf>
    <xf numFmtId="0" fontId="52" fillId="0" borderId="21" xfId="111" applyFont="1" applyBorder="1" applyAlignment="1">
      <alignment horizontal="left" vertical="top" wrapText="1"/>
      <protection/>
    </xf>
    <xf numFmtId="3" fontId="52" fillId="0" borderId="19" xfId="111" applyNumberFormat="1" applyFont="1" applyBorder="1" applyAlignment="1">
      <alignment horizontal="right" vertical="top" wrapText="1"/>
      <protection/>
    </xf>
    <xf numFmtId="3" fontId="52" fillId="0" borderId="26" xfId="111" applyNumberFormat="1" applyFont="1" applyBorder="1" applyAlignment="1">
      <alignment horizontal="right" vertical="top" wrapText="1"/>
      <protection/>
    </xf>
    <xf numFmtId="0" fontId="52" fillId="0" borderId="21" xfId="0" applyFont="1" applyBorder="1" applyAlignment="1">
      <alignment horizontal="left" vertical="top" wrapText="1"/>
    </xf>
    <xf numFmtId="3" fontId="52" fillId="0" borderId="19" xfId="0" applyNumberFormat="1" applyFont="1" applyBorder="1" applyAlignment="1">
      <alignment horizontal="right" vertical="top" wrapText="1"/>
    </xf>
    <xf numFmtId="3" fontId="52" fillId="0" borderId="26" xfId="0" applyNumberFormat="1" applyFont="1" applyBorder="1" applyAlignment="1">
      <alignment horizontal="right" vertical="top" wrapText="1"/>
    </xf>
    <xf numFmtId="0" fontId="52" fillId="0" borderId="0" xfId="126" applyFont="1" applyFill="1" applyProtection="1">
      <alignment/>
      <protection/>
    </xf>
    <xf numFmtId="0" fontId="51" fillId="0" borderId="21" xfId="111" applyFont="1" applyBorder="1" applyAlignment="1">
      <alignment horizontal="left" vertical="top" wrapText="1"/>
      <protection/>
    </xf>
    <xf numFmtId="3" fontId="51" fillId="0" borderId="19" xfId="111" applyNumberFormat="1" applyFont="1" applyBorder="1" applyAlignment="1">
      <alignment horizontal="right" vertical="top" wrapText="1"/>
      <protection/>
    </xf>
    <xf numFmtId="3" fontId="51" fillId="0" borderId="26" xfId="111" applyNumberFormat="1" applyFont="1" applyBorder="1" applyAlignment="1">
      <alignment horizontal="right" vertical="top" wrapText="1"/>
      <protection/>
    </xf>
    <xf numFmtId="0" fontId="51" fillId="0" borderId="21" xfId="0" applyFont="1" applyBorder="1" applyAlignment="1">
      <alignment horizontal="left" vertical="top" wrapText="1"/>
    </xf>
    <xf numFmtId="3" fontId="51" fillId="0" borderId="19" xfId="0" applyNumberFormat="1" applyFont="1" applyBorder="1" applyAlignment="1">
      <alignment horizontal="right" vertical="top" wrapText="1"/>
    </xf>
    <xf numFmtId="3" fontId="51" fillId="0" borderId="26" xfId="0" applyNumberFormat="1" applyFont="1" applyBorder="1" applyAlignment="1">
      <alignment horizontal="right" vertical="top" wrapText="1"/>
    </xf>
    <xf numFmtId="0" fontId="51" fillId="0" borderId="63" xfId="0" applyFont="1" applyBorder="1" applyAlignment="1">
      <alignment horizontal="left" vertical="top" wrapText="1"/>
    </xf>
    <xf numFmtId="3" fontId="51" fillId="0" borderId="51" xfId="0" applyNumberFormat="1" applyFont="1" applyBorder="1" applyAlignment="1">
      <alignment horizontal="right" vertical="top" wrapText="1"/>
    </xf>
    <xf numFmtId="3" fontId="51" fillId="0" borderId="59" xfId="0" applyNumberFormat="1" applyFont="1" applyBorder="1" applyAlignment="1">
      <alignment horizontal="right" vertical="top" wrapText="1"/>
    </xf>
    <xf numFmtId="0" fontId="51" fillId="0" borderId="21" xfId="111" applyFont="1" applyFill="1" applyBorder="1" applyAlignment="1">
      <alignment horizontal="center" vertical="top" wrapText="1"/>
      <protection/>
    </xf>
    <xf numFmtId="0" fontId="51" fillId="0" borderId="19" xfId="111" applyFont="1" applyFill="1" applyBorder="1" applyAlignment="1">
      <alignment horizontal="center" vertical="top" wrapText="1"/>
      <protection/>
    </xf>
    <xf numFmtId="0" fontId="51" fillId="0" borderId="26" xfId="111" applyFont="1" applyFill="1" applyBorder="1" applyAlignment="1">
      <alignment horizontal="center" vertical="top" wrapText="1"/>
      <protection/>
    </xf>
    <xf numFmtId="0" fontId="51" fillId="0" borderId="21" xfId="0" applyFont="1" applyFill="1" applyBorder="1" applyAlignment="1">
      <alignment horizontal="center" vertical="top" wrapText="1"/>
    </xf>
    <xf numFmtId="0" fontId="51" fillId="0" borderId="19" xfId="0" applyFont="1" applyFill="1" applyBorder="1" applyAlignment="1">
      <alignment horizontal="center" vertical="top" wrapText="1"/>
    </xf>
    <xf numFmtId="0" fontId="51" fillId="0" borderId="26" xfId="0" applyFont="1" applyFill="1" applyBorder="1" applyAlignment="1">
      <alignment horizontal="center" vertical="top" wrapText="1"/>
    </xf>
    <xf numFmtId="0" fontId="52" fillId="0" borderId="0" xfId="126" applyFont="1" applyFill="1" applyAlignment="1" applyProtection="1">
      <alignment horizontal="right" vertical="center" indent="1"/>
      <protection/>
    </xf>
    <xf numFmtId="0" fontId="51" fillId="41" borderId="21" xfId="0" applyFont="1" applyFill="1" applyBorder="1" applyAlignment="1">
      <alignment horizontal="center" vertical="top" wrapText="1"/>
    </xf>
    <xf numFmtId="0" fontId="51" fillId="41" borderId="26" xfId="0" applyFont="1" applyFill="1" applyBorder="1" applyAlignment="1">
      <alignment horizontal="center" vertical="top" wrapText="1"/>
    </xf>
    <xf numFmtId="3" fontId="52" fillId="41" borderId="21" xfId="0" applyNumberFormat="1" applyFont="1" applyFill="1" applyBorder="1" applyAlignment="1">
      <alignment horizontal="right" vertical="top" wrapText="1"/>
    </xf>
    <xf numFmtId="3" fontId="52" fillId="41" borderId="26" xfId="0" applyNumberFormat="1" applyFont="1" applyFill="1" applyBorder="1" applyAlignment="1">
      <alignment horizontal="right" vertical="top" wrapText="1"/>
    </xf>
    <xf numFmtId="3" fontId="51" fillId="41" borderId="21" xfId="0" applyNumberFormat="1" applyFont="1" applyFill="1" applyBorder="1" applyAlignment="1">
      <alignment horizontal="right" vertical="top" wrapText="1"/>
    </xf>
    <xf numFmtId="3" fontId="51" fillId="41" borderId="26" xfId="0" applyNumberFormat="1" applyFont="1" applyFill="1" applyBorder="1" applyAlignment="1">
      <alignment horizontal="right" vertical="top" wrapText="1"/>
    </xf>
    <xf numFmtId="3" fontId="51" fillId="41" borderId="63" xfId="0" applyNumberFormat="1" applyFont="1" applyFill="1" applyBorder="1" applyAlignment="1">
      <alignment horizontal="right" vertical="top" wrapText="1"/>
    </xf>
    <xf numFmtId="3" fontId="51" fillId="41" borderId="59" xfId="0" applyNumberFormat="1" applyFont="1" applyFill="1" applyBorder="1" applyAlignment="1">
      <alignment horizontal="right" vertical="top" wrapText="1"/>
    </xf>
    <xf numFmtId="0" fontId="29" fillId="0" borderId="19" xfId="111" applyFont="1" applyFill="1" applyBorder="1" applyAlignment="1">
      <alignment horizontal="center" vertical="top" wrapText="1"/>
      <protection/>
    </xf>
    <xf numFmtId="0" fontId="29" fillId="0" borderId="19" xfId="0" applyFont="1" applyFill="1" applyBorder="1" applyAlignment="1">
      <alignment horizontal="center" vertical="top" wrapText="1"/>
    </xf>
    <xf numFmtId="0" fontId="29" fillId="0" borderId="21" xfId="111" applyFont="1" applyFill="1" applyBorder="1" applyAlignment="1">
      <alignment horizontal="center" vertical="top" wrapText="1"/>
      <protection/>
    </xf>
    <xf numFmtId="0" fontId="29" fillId="0" borderId="26" xfId="111" applyFont="1" applyFill="1" applyBorder="1" applyAlignment="1">
      <alignment horizontal="center" vertical="top" wrapText="1"/>
      <protection/>
    </xf>
    <xf numFmtId="0" fontId="51" fillId="0" borderId="63" xfId="111" applyFont="1" applyBorder="1" applyAlignment="1">
      <alignment horizontal="left" vertical="top" wrapText="1"/>
      <protection/>
    </xf>
    <xf numFmtId="3" fontId="51" fillId="0" borderId="51" xfId="111" applyNumberFormat="1" applyFont="1" applyBorder="1" applyAlignment="1">
      <alignment horizontal="right" vertical="top" wrapText="1"/>
      <protection/>
    </xf>
    <xf numFmtId="3" fontId="51" fillId="0" borderId="59" xfId="111" applyNumberFormat="1" applyFont="1" applyBorder="1" applyAlignment="1">
      <alignment horizontal="right" vertical="top" wrapText="1"/>
      <protection/>
    </xf>
    <xf numFmtId="0" fontId="29" fillId="0" borderId="21" xfId="0" applyFont="1" applyFill="1" applyBorder="1" applyAlignment="1">
      <alignment horizontal="center" vertical="top" wrapText="1"/>
    </xf>
    <xf numFmtId="0" fontId="29" fillId="0" borderId="26" xfId="0" applyFont="1" applyFill="1" applyBorder="1" applyAlignment="1">
      <alignment horizontal="center" vertical="top" wrapText="1"/>
    </xf>
    <xf numFmtId="0" fontId="29" fillId="41" borderId="21" xfId="0" applyFont="1" applyFill="1" applyBorder="1" applyAlignment="1">
      <alignment horizontal="center" vertical="top" wrapText="1"/>
    </xf>
    <xf numFmtId="0" fontId="29" fillId="41" borderId="26" xfId="0" applyFont="1" applyFill="1" applyBorder="1" applyAlignment="1">
      <alignment horizontal="center" vertical="top" wrapText="1"/>
    </xf>
    <xf numFmtId="0" fontId="5" fillId="0" borderId="25" xfId="126" applyFont="1" applyFill="1" applyBorder="1" applyAlignment="1" applyProtection="1">
      <alignment horizontal="center" vertical="center" wrapText="1"/>
      <protection/>
    </xf>
    <xf numFmtId="0" fontId="5" fillId="0" borderId="23" xfId="126" applyFont="1" applyFill="1" applyBorder="1" applyAlignment="1" applyProtection="1">
      <alignment horizontal="center" vertical="center" wrapText="1"/>
      <protection/>
    </xf>
    <xf numFmtId="0" fontId="5" fillId="0" borderId="49" xfId="126" applyFont="1" applyFill="1" applyBorder="1" applyAlignment="1" applyProtection="1">
      <alignment horizontal="center" vertical="center" wrapText="1"/>
      <protection/>
    </xf>
    <xf numFmtId="0" fontId="5" fillId="0" borderId="25" xfId="126" applyFont="1" applyFill="1" applyBorder="1" applyAlignment="1" applyProtection="1">
      <alignment horizontal="left" vertical="center" wrapText="1" indent="1"/>
      <protection/>
    </xf>
    <xf numFmtId="0" fontId="5" fillId="0" borderId="23" xfId="126" applyFont="1" applyFill="1" applyBorder="1" applyAlignment="1" applyProtection="1">
      <alignment horizontal="left" vertical="center" wrapText="1" indent="1"/>
      <protection/>
    </xf>
    <xf numFmtId="164" fontId="5" fillId="0" borderId="23" xfId="126" applyNumberFormat="1" applyFont="1" applyFill="1" applyBorder="1" applyAlignment="1" applyProtection="1">
      <alignment horizontal="right" vertical="center" wrapText="1" indent="1"/>
      <protection/>
    </xf>
    <xf numFmtId="164" fontId="5" fillId="0" borderId="49" xfId="126" applyNumberFormat="1" applyFont="1" applyFill="1" applyBorder="1" applyAlignment="1" applyProtection="1">
      <alignment horizontal="right" vertical="center" wrapText="1" indent="1"/>
      <protection/>
    </xf>
    <xf numFmtId="49" fontId="2" fillId="0" borderId="44" xfId="126" applyNumberFormat="1" applyFont="1" applyFill="1" applyBorder="1" applyAlignment="1" applyProtection="1">
      <alignment horizontal="left" vertical="center" wrapText="1" indent="1"/>
      <protection/>
    </xf>
    <xf numFmtId="0" fontId="28" fillId="0" borderId="48" xfId="0" applyFont="1" applyBorder="1" applyAlignment="1" applyProtection="1">
      <alignment horizontal="left" wrapText="1" indent="1"/>
      <protection/>
    </xf>
    <xf numFmtId="164" fontId="2" fillId="0" borderId="48" xfId="126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8" xfId="126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1" xfId="126" applyNumberFormat="1" applyFont="1" applyFill="1" applyBorder="1" applyAlignment="1" applyProtection="1">
      <alignment horizontal="left" vertical="center" wrapText="1" indent="1"/>
      <protection/>
    </xf>
    <xf numFmtId="0" fontId="28" fillId="0" borderId="19" xfId="0" applyFont="1" applyBorder="1" applyAlignment="1" applyProtection="1">
      <alignment horizontal="left" wrapText="1" indent="1"/>
      <protection/>
    </xf>
    <xf numFmtId="164" fontId="2" fillId="0" borderId="19" xfId="126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126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2" xfId="126" applyNumberFormat="1" applyFont="1" applyFill="1" applyBorder="1" applyAlignment="1" applyProtection="1">
      <alignment horizontal="left" vertical="center" wrapText="1" indent="1"/>
      <protection/>
    </xf>
    <xf numFmtId="0" fontId="28" fillId="0" borderId="20" xfId="0" applyFont="1" applyBorder="1" applyAlignment="1" applyProtection="1">
      <alignment horizontal="left" wrapText="1" indent="1"/>
      <protection/>
    </xf>
    <xf numFmtId="164" fontId="2" fillId="0" borderId="20" xfId="126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9" xfId="12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3" xfId="0" applyFont="1" applyBorder="1" applyAlignment="1" applyProtection="1">
      <alignment horizontal="left" vertical="center" wrapText="1" indent="1"/>
      <protection/>
    </xf>
    <xf numFmtId="0" fontId="28" fillId="0" borderId="20" xfId="0" applyFont="1" applyBorder="1" applyAlignment="1" applyProtection="1">
      <alignment horizontal="left" vertical="center" wrapText="1" indent="1"/>
      <protection/>
    </xf>
    <xf numFmtId="164" fontId="5" fillId="0" borderId="23" xfId="126" applyNumberFormat="1" applyFont="1" applyFill="1" applyBorder="1" applyAlignment="1" applyProtection="1">
      <alignment horizontal="right" vertical="center" wrapText="1" indent="1"/>
      <protection/>
    </xf>
    <xf numFmtId="164" fontId="2" fillId="0" borderId="48" xfId="126" applyNumberFormat="1" applyFont="1" applyFill="1" applyBorder="1" applyAlignment="1" applyProtection="1">
      <alignment horizontal="right" vertical="center" wrapText="1" indent="1"/>
      <protection/>
    </xf>
    <xf numFmtId="164" fontId="2" fillId="0" borderId="68" xfId="126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126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126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126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9" xfId="126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126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8" xfId="12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9" xfId="126" applyNumberFormat="1" applyFont="1" applyFill="1" applyBorder="1" applyAlignment="1" applyProtection="1">
      <alignment horizontal="right" vertical="center" wrapText="1" indent="1"/>
      <protection/>
    </xf>
    <xf numFmtId="0" fontId="29" fillId="0" borderId="25" xfId="0" applyFont="1" applyBorder="1" applyAlignment="1" applyProtection="1">
      <alignment vertical="center" wrapText="1"/>
      <protection/>
    </xf>
    <xf numFmtId="0" fontId="28" fillId="0" borderId="20" xfId="0" applyFont="1" applyBorder="1" applyAlignment="1" applyProtection="1">
      <alignment vertical="center" wrapText="1"/>
      <protection/>
    </xf>
    <xf numFmtId="164" fontId="5" fillId="0" borderId="24" xfId="126" applyNumberFormat="1" applyFont="1" applyFill="1" applyBorder="1" applyAlignment="1" applyProtection="1">
      <alignment horizontal="right" vertical="center" wrapText="1" indent="1"/>
      <protection/>
    </xf>
    <xf numFmtId="0" fontId="28" fillId="0" borderId="44" xfId="0" applyFont="1" applyBorder="1" applyAlignment="1" applyProtection="1">
      <alignment wrapText="1"/>
      <protection/>
    </xf>
    <xf numFmtId="0" fontId="28" fillId="0" borderId="21" xfId="0" applyFont="1" applyBorder="1" applyAlignment="1" applyProtection="1">
      <alignment wrapText="1"/>
      <protection/>
    </xf>
    <xf numFmtId="0" fontId="28" fillId="0" borderId="22" xfId="0" applyFont="1" applyBorder="1" applyAlignment="1" applyProtection="1">
      <alignment vertical="center" wrapText="1"/>
      <protection/>
    </xf>
    <xf numFmtId="164" fontId="5" fillId="0" borderId="23" xfId="12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9" xfId="12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3" xfId="0" applyFont="1" applyBorder="1" applyAlignment="1" applyProtection="1">
      <alignment vertical="center" wrapText="1"/>
      <protection/>
    </xf>
    <xf numFmtId="0" fontId="29" fillId="0" borderId="74" xfId="0" applyFont="1" applyBorder="1" applyAlignment="1" applyProtection="1">
      <alignment vertical="center" wrapText="1"/>
      <protection/>
    </xf>
    <xf numFmtId="0" fontId="29" fillId="0" borderId="70" xfId="0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5" fillId="0" borderId="0" xfId="126" applyNumberFormat="1" applyFont="1" applyFill="1" applyBorder="1" applyAlignment="1" applyProtection="1">
      <alignment horizontal="right" vertical="center" wrapText="1" indent="1"/>
      <protection/>
    </xf>
    <xf numFmtId="164" fontId="54" fillId="0" borderId="28" xfId="126" applyNumberFormat="1" applyFont="1" applyFill="1" applyBorder="1" applyAlignment="1" applyProtection="1">
      <alignment/>
      <protection/>
    </xf>
    <xf numFmtId="0" fontId="54" fillId="0" borderId="28" xfId="0" applyFont="1" applyFill="1" applyBorder="1" applyAlignment="1" applyProtection="1">
      <alignment horizontal="right"/>
      <protection/>
    </xf>
    <xf numFmtId="0" fontId="5" fillId="0" borderId="24" xfId="126" applyFont="1" applyFill="1" applyBorder="1" applyAlignment="1" applyProtection="1">
      <alignment horizontal="center" vertical="center" wrapText="1"/>
      <protection/>
    </xf>
    <xf numFmtId="164" fontId="5" fillId="0" borderId="66" xfId="126" applyNumberFormat="1" applyFont="1" applyFill="1" applyBorder="1" applyAlignment="1" applyProtection="1">
      <alignment horizontal="right" vertical="center" wrapText="1" indent="1"/>
      <protection/>
    </xf>
    <xf numFmtId="164" fontId="5" fillId="0" borderId="88" xfId="126" applyNumberFormat="1" applyFont="1" applyFill="1" applyBorder="1" applyAlignment="1" applyProtection="1">
      <alignment horizontal="right" vertical="center" wrapText="1" indent="1"/>
      <protection/>
    </xf>
    <xf numFmtId="0" fontId="2" fillId="0" borderId="19" xfId="126" applyFont="1" applyFill="1" applyBorder="1" applyAlignment="1" applyProtection="1">
      <alignment horizontal="left" vertical="center" wrapText="1" indent="1"/>
      <protection/>
    </xf>
    <xf numFmtId="0" fontId="2" fillId="0" borderId="67" xfId="126" applyFont="1" applyFill="1" applyBorder="1" applyAlignment="1" applyProtection="1">
      <alignment horizontal="left" vertical="center" wrapText="1" indent="1"/>
      <protection/>
    </xf>
    <xf numFmtId="0" fontId="2" fillId="0" borderId="0" xfId="126" applyFont="1" applyFill="1" applyBorder="1" applyAlignment="1" applyProtection="1">
      <alignment horizontal="left" vertical="center" wrapText="1" indent="1"/>
      <protection/>
    </xf>
    <xf numFmtId="0" fontId="2" fillId="0" borderId="19" xfId="126" applyFont="1" applyFill="1" applyBorder="1" applyAlignment="1" applyProtection="1">
      <alignment horizontal="left" indent="6"/>
      <protection/>
    </xf>
    <xf numFmtId="0" fontId="2" fillId="0" borderId="19" xfId="126" applyFont="1" applyFill="1" applyBorder="1" applyAlignment="1" applyProtection="1">
      <alignment horizontal="left" vertical="center" wrapText="1" indent="6"/>
      <protection/>
    </xf>
    <xf numFmtId="49" fontId="2" fillId="0" borderId="73" xfId="126" applyNumberFormat="1" applyFont="1" applyFill="1" applyBorder="1" applyAlignment="1" applyProtection="1">
      <alignment horizontal="left" vertical="center" wrapText="1" indent="1"/>
      <protection/>
    </xf>
    <xf numFmtId="0" fontId="2" fillId="0" borderId="20" xfId="126" applyFont="1" applyFill="1" applyBorder="1" applyAlignment="1" applyProtection="1">
      <alignment horizontal="left" vertical="center" wrapText="1" indent="6"/>
      <protection/>
    </xf>
    <xf numFmtId="49" fontId="2" fillId="0" borderId="63" xfId="126" applyNumberFormat="1" applyFont="1" applyFill="1" applyBorder="1" applyAlignment="1" applyProtection="1">
      <alignment horizontal="left" vertical="center" wrapText="1" indent="1"/>
      <protection/>
    </xf>
    <xf numFmtId="0" fontId="2" fillId="0" borderId="51" xfId="126" applyFont="1" applyFill="1" applyBorder="1" applyAlignment="1" applyProtection="1">
      <alignment horizontal="left" vertical="center" wrapText="1" indent="6"/>
      <protection/>
    </xf>
    <xf numFmtId="164" fontId="2" fillId="0" borderId="51" xfId="126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9" xfId="126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3" xfId="126" applyFont="1" applyFill="1" applyBorder="1" applyAlignment="1" applyProtection="1">
      <alignment vertical="center" wrapText="1"/>
      <protection/>
    </xf>
    <xf numFmtId="0" fontId="2" fillId="0" borderId="20" xfId="126" applyFont="1" applyFill="1" applyBorder="1" applyAlignment="1" applyProtection="1">
      <alignment horizontal="left" vertical="center" wrapText="1" indent="1"/>
      <protection/>
    </xf>
    <xf numFmtId="0" fontId="28" fillId="0" borderId="19" xfId="0" applyFont="1" applyBorder="1" applyAlignment="1" applyProtection="1">
      <alignment horizontal="left" vertical="center" wrapText="1" indent="1"/>
      <protection/>
    </xf>
    <xf numFmtId="0" fontId="2" fillId="0" borderId="48" xfId="126" applyFont="1" applyFill="1" applyBorder="1" applyAlignment="1" applyProtection="1">
      <alignment horizontal="left" vertical="center" wrapText="1" indent="6"/>
      <protection/>
    </xf>
    <xf numFmtId="0" fontId="5" fillId="0" borderId="23" xfId="126" applyFont="1" applyFill="1" applyBorder="1" applyAlignment="1" applyProtection="1">
      <alignment horizontal="left" vertical="center" wrapText="1" indent="1"/>
      <protection/>
    </xf>
    <xf numFmtId="0" fontId="2" fillId="0" borderId="48" xfId="126" applyFont="1" applyFill="1" applyBorder="1" applyAlignment="1" applyProtection="1">
      <alignment horizontal="left" vertical="center" wrapText="1" indent="1"/>
      <protection/>
    </xf>
    <xf numFmtId="0" fontId="2" fillId="0" borderId="27" xfId="126" applyFont="1" applyFill="1" applyBorder="1" applyAlignment="1" applyProtection="1">
      <alignment horizontal="left" vertical="center" wrapText="1" indent="1"/>
      <protection/>
    </xf>
    <xf numFmtId="164" fontId="5" fillId="0" borderId="24" xfId="126" applyNumberFormat="1" applyFont="1" applyFill="1" applyBorder="1" applyAlignment="1" applyProtection="1">
      <alignment horizontal="right" vertical="center" wrapText="1" indent="1"/>
      <protection/>
    </xf>
    <xf numFmtId="164" fontId="29" fillId="0" borderId="23" xfId="0" applyNumberFormat="1" applyFont="1" applyBorder="1" applyAlignment="1" applyProtection="1">
      <alignment horizontal="right" vertical="center" wrapText="1" indent="1"/>
      <protection/>
    </xf>
    <xf numFmtId="164" fontId="29" fillId="0" borderId="49" xfId="0" applyNumberFormat="1" applyFont="1" applyBorder="1" applyAlignment="1" applyProtection="1">
      <alignment horizontal="right" vertical="center" wrapText="1" indent="1"/>
      <protection/>
    </xf>
    <xf numFmtId="164" fontId="29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49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74" xfId="0" applyFont="1" applyBorder="1" applyAlignment="1" applyProtection="1">
      <alignment horizontal="left" vertical="center" wrapText="1" indent="1"/>
      <protection/>
    </xf>
    <xf numFmtId="0" fontId="29" fillId="0" borderId="70" xfId="0" applyFont="1" applyBorder="1" applyAlignment="1" applyProtection="1">
      <alignment horizontal="left" vertical="center" wrapText="1" indent="1"/>
      <protection/>
    </xf>
    <xf numFmtId="164" fontId="54" fillId="0" borderId="28" xfId="126" applyNumberFormat="1" applyFont="1" applyFill="1" applyBorder="1" applyAlignment="1" applyProtection="1">
      <alignment horizontal="left" vertical="center"/>
      <protection/>
    </xf>
    <xf numFmtId="0" fontId="54" fillId="0" borderId="28" xfId="0" applyFont="1" applyFill="1" applyBorder="1" applyAlignment="1" applyProtection="1">
      <alignment horizontal="right" vertical="center"/>
      <protection/>
    </xf>
    <xf numFmtId="164" fontId="0" fillId="0" borderId="21" xfId="0" applyNumberFormat="1" applyFill="1" applyBorder="1" applyAlignment="1">
      <alignment horizontal="left" vertical="center" wrapText="1"/>
    </xf>
    <xf numFmtId="0" fontId="47" fillId="0" borderId="19" xfId="0" applyFont="1" applyBorder="1" applyAlignment="1">
      <alignment/>
    </xf>
    <xf numFmtId="183" fontId="47" fillId="0" borderId="19" xfId="0" applyNumberFormat="1" applyFont="1" applyBorder="1" applyAlignment="1">
      <alignment/>
    </xf>
    <xf numFmtId="0" fontId="48" fillId="0" borderId="19" xfId="0" applyFont="1" applyBorder="1" applyAlignment="1">
      <alignment wrapText="1"/>
    </xf>
    <xf numFmtId="183" fontId="0" fillId="0" borderId="19" xfId="132" applyNumberFormat="1" applyFont="1" applyBorder="1" applyAlignment="1">
      <alignment/>
    </xf>
    <xf numFmtId="164" fontId="8" fillId="0" borderId="0" xfId="0" applyNumberFormat="1" applyFont="1" applyFill="1" applyAlignment="1">
      <alignment textRotation="180" wrapText="1"/>
    </xf>
    <xf numFmtId="166" fontId="55" fillId="0" borderId="26" xfId="86" applyNumberFormat="1" applyFont="1" applyBorder="1" applyAlignment="1">
      <alignment horizontal="right"/>
    </xf>
    <xf numFmtId="0" fontId="44" fillId="42" borderId="89" xfId="124" applyFont="1" applyFill="1" applyBorder="1" applyAlignment="1">
      <alignment horizontal="center" vertical="center"/>
      <protection/>
    </xf>
    <xf numFmtId="0" fontId="44" fillId="42" borderId="90" xfId="124" applyFont="1" applyFill="1" applyBorder="1" applyAlignment="1">
      <alignment horizontal="center" vertical="center"/>
      <protection/>
    </xf>
    <xf numFmtId="0" fontId="44" fillId="42" borderId="91" xfId="124" applyFont="1" applyFill="1" applyBorder="1" applyAlignment="1">
      <alignment horizontal="center" vertical="center"/>
      <protection/>
    </xf>
    <xf numFmtId="0" fontId="55" fillId="0" borderId="71" xfId="124" applyFont="1" applyBorder="1" applyAlignment="1">
      <alignment wrapText="1"/>
      <protection/>
    </xf>
    <xf numFmtId="0" fontId="55" fillId="0" borderId="48" xfId="124" applyFont="1" applyBorder="1" applyAlignment="1">
      <alignment horizontal="right"/>
      <protection/>
    </xf>
    <xf numFmtId="0" fontId="55" fillId="0" borderId="64" xfId="124" applyFont="1" applyBorder="1" applyAlignment="1">
      <alignment horizontal="right"/>
      <protection/>
    </xf>
    <xf numFmtId="0" fontId="55" fillId="0" borderId="92" xfId="124" applyFont="1" applyBorder="1" applyAlignment="1">
      <alignment wrapText="1"/>
      <protection/>
    </xf>
    <xf numFmtId="0" fontId="55" fillId="0" borderId="19" xfId="124" applyFont="1" applyBorder="1" applyAlignment="1">
      <alignment horizontal="right"/>
      <protection/>
    </xf>
    <xf numFmtId="0" fontId="55" fillId="0" borderId="26" xfId="124" applyFont="1" applyBorder="1" applyAlignment="1">
      <alignment horizontal="right"/>
      <protection/>
    </xf>
    <xf numFmtId="0" fontId="55" fillId="0" borderId="93" xfId="124" applyFont="1" applyBorder="1" applyAlignment="1">
      <alignment vertical="center"/>
      <protection/>
    </xf>
    <xf numFmtId="0" fontId="55" fillId="0" borderId="21" xfId="124" applyFont="1" applyBorder="1" applyAlignment="1">
      <alignment vertical="center" wrapText="1"/>
      <protection/>
    </xf>
    <xf numFmtId="0" fontId="55" fillId="0" borderId="63" xfId="124" applyFont="1" applyBorder="1">
      <alignment/>
      <protection/>
    </xf>
    <xf numFmtId="0" fontId="55" fillId="0" borderId="51" xfId="124" applyFont="1" applyBorder="1" applyAlignment="1">
      <alignment horizontal="right"/>
      <protection/>
    </xf>
    <xf numFmtId="0" fontId="55" fillId="0" borderId="59" xfId="124" applyFont="1" applyBorder="1" applyAlignment="1">
      <alignment horizontal="right"/>
      <protection/>
    </xf>
    <xf numFmtId="0" fontId="44" fillId="42" borderId="90" xfId="124" applyFont="1" applyFill="1" applyBorder="1" applyAlignment="1">
      <alignment horizontal="center" vertical="center" wrapText="1"/>
      <protection/>
    </xf>
    <xf numFmtId="0" fontId="55" fillId="0" borderId="93" xfId="124" applyFont="1" applyBorder="1" applyAlignment="1">
      <alignment vertical="center" wrapText="1"/>
      <protection/>
    </xf>
    <xf numFmtId="0" fontId="55" fillId="0" borderId="19" xfId="124" applyFont="1" applyBorder="1" applyAlignment="1">
      <alignment horizontal="center"/>
      <protection/>
    </xf>
    <xf numFmtId="0" fontId="28" fillId="0" borderId="19" xfId="119" applyFont="1" applyBorder="1">
      <alignment/>
      <protection/>
    </xf>
    <xf numFmtId="0" fontId="28" fillId="0" borderId="21" xfId="119" applyFont="1" applyFill="1" applyBorder="1" applyAlignment="1">
      <alignment horizontal="center"/>
      <protection/>
    </xf>
    <xf numFmtId="0" fontId="28" fillId="0" borderId="19" xfId="119" applyFont="1" applyFill="1" applyBorder="1" applyAlignment="1">
      <alignment wrapText="1"/>
      <protection/>
    </xf>
    <xf numFmtId="0" fontId="28" fillId="0" borderId="19" xfId="119" applyFont="1" applyBorder="1" applyAlignment="1">
      <alignment wrapText="1"/>
      <protection/>
    </xf>
    <xf numFmtId="0" fontId="28" fillId="0" borderId="19" xfId="119" applyFont="1" applyFill="1" applyBorder="1">
      <alignment/>
      <protection/>
    </xf>
    <xf numFmtId="183" fontId="28" fillId="0" borderId="26" xfId="136" applyNumberFormat="1" applyFont="1" applyFill="1" applyBorder="1" applyAlignment="1">
      <alignment/>
    </xf>
    <xf numFmtId="183" fontId="28" fillId="0" borderId="26" xfId="136" applyNumberFormat="1" applyFont="1" applyFill="1" applyBorder="1" applyAlignment="1">
      <alignment/>
    </xf>
    <xf numFmtId="183" fontId="28" fillId="0" borderId="26" xfId="136" applyNumberFormat="1" applyFont="1" applyBorder="1" applyAlignment="1">
      <alignment horizontal="center"/>
    </xf>
    <xf numFmtId="183" fontId="28" fillId="0" borderId="26" xfId="136" applyNumberFormat="1" applyFont="1" applyBorder="1" applyAlignment="1">
      <alignment/>
    </xf>
    <xf numFmtId="183" fontId="28" fillId="0" borderId="26" xfId="136" applyNumberFormat="1" applyFont="1" applyFill="1" applyBorder="1" applyAlignment="1">
      <alignment horizontal="right"/>
    </xf>
    <xf numFmtId="0" fontId="28" fillId="0" borderId="19" xfId="0" applyFont="1" applyFill="1" applyBorder="1" applyAlignment="1">
      <alignment/>
    </xf>
    <xf numFmtId="0" fontId="28" fillId="0" borderId="21" xfId="119" applyFont="1" applyFill="1" applyBorder="1" applyAlignment="1">
      <alignment horizontal="center" vertical="center" wrapText="1"/>
      <protection/>
    </xf>
    <xf numFmtId="0" fontId="74" fillId="43" borderId="36" xfId="119" applyFont="1" applyFill="1" applyBorder="1" applyAlignment="1">
      <alignment horizontal="center" vertical="center" wrapText="1"/>
      <protection/>
    </xf>
    <xf numFmtId="0" fontId="74" fillId="43" borderId="36" xfId="119" applyFont="1" applyFill="1" applyBorder="1" applyAlignment="1">
      <alignment horizontal="center" vertical="center"/>
      <protection/>
    </xf>
    <xf numFmtId="183" fontId="29" fillId="43" borderId="94" xfId="0" applyNumberFormat="1" applyFont="1" applyFill="1" applyBorder="1" applyAlignment="1">
      <alignment/>
    </xf>
    <xf numFmtId="0" fontId="35" fillId="0" borderId="25" xfId="0" applyFont="1" applyBorder="1" applyAlignment="1" applyProtection="1">
      <alignment horizontal="center" vertical="center" wrapText="1"/>
      <protection/>
    </xf>
    <xf numFmtId="0" fontId="55" fillId="0" borderId="21" xfId="118" applyFont="1" applyBorder="1" applyAlignment="1">
      <alignment wrapText="1"/>
      <protection/>
    </xf>
    <xf numFmtId="166" fontId="75" fillId="0" borderId="19" xfId="84" applyNumberFormat="1" applyFont="1" applyBorder="1" applyAlignment="1">
      <alignment/>
    </xf>
    <xf numFmtId="0" fontId="76" fillId="0" borderId="21" xfId="118" applyFont="1" applyBorder="1" applyAlignment="1">
      <alignment wrapText="1"/>
      <protection/>
    </xf>
    <xf numFmtId="166" fontId="76" fillId="0" borderId="19" xfId="84" applyNumberFormat="1" applyFont="1" applyBorder="1" applyAlignment="1">
      <alignment/>
    </xf>
    <xf numFmtId="166" fontId="75" fillId="0" borderId="19" xfId="84" applyNumberFormat="1" applyFont="1" applyFill="1" applyBorder="1" applyAlignment="1">
      <alignment/>
    </xf>
    <xf numFmtId="166" fontId="76" fillId="37" borderId="19" xfId="84" applyNumberFormat="1" applyFont="1" applyFill="1" applyBorder="1" applyAlignment="1">
      <alignment/>
    </xf>
    <xf numFmtId="166" fontId="75" fillId="37" borderId="19" xfId="84" applyNumberFormat="1" applyFont="1" applyFill="1" applyBorder="1" applyAlignment="1">
      <alignment/>
    </xf>
    <xf numFmtId="0" fontId="28" fillId="0" borderId="0" xfId="128" applyFill="1" applyAlignment="1" applyProtection="1">
      <alignment wrapText="1"/>
      <protection/>
    </xf>
    <xf numFmtId="0" fontId="30" fillId="0" borderId="23" xfId="128" applyFont="1" applyFill="1" applyBorder="1" applyAlignment="1" applyProtection="1">
      <alignment horizontal="center" wrapText="1"/>
      <protection/>
    </xf>
    <xf numFmtId="0" fontId="20" fillId="0" borderId="23" xfId="127" applyFont="1" applyFill="1" applyBorder="1" applyAlignment="1" applyProtection="1">
      <alignment horizontal="center" vertical="center" wrapText="1"/>
      <protection/>
    </xf>
    <xf numFmtId="0" fontId="15" fillId="0" borderId="95" xfId="128" applyFont="1" applyFill="1" applyBorder="1" applyAlignment="1">
      <alignment horizontal="center" vertical="center" wrapText="1"/>
      <protection/>
    </xf>
    <xf numFmtId="0" fontId="20" fillId="0" borderId="62" xfId="127" applyFont="1" applyFill="1" applyBorder="1" applyAlignment="1" applyProtection="1">
      <alignment horizontal="center" vertical="center" wrapText="1"/>
      <protection/>
    </xf>
    <xf numFmtId="0" fontId="20" fillId="44" borderId="32" xfId="127" applyFont="1" applyFill="1" applyBorder="1" applyAlignment="1" applyProtection="1">
      <alignment horizontal="center" vertical="center" wrapText="1"/>
      <protection/>
    </xf>
    <xf numFmtId="0" fontId="51" fillId="0" borderId="21" xfId="128" applyFont="1" applyFill="1" applyBorder="1" applyAlignment="1" applyProtection="1">
      <alignment vertical="center" wrapText="1"/>
      <protection/>
    </xf>
    <xf numFmtId="0" fontId="32" fillId="0" borderId="23" xfId="127" applyFont="1" applyFill="1" applyBorder="1" applyAlignment="1" applyProtection="1">
      <alignment horizontal="center" vertical="center" wrapText="1"/>
      <protection/>
    </xf>
    <xf numFmtId="0" fontId="73" fillId="0" borderId="23" xfId="128" applyFont="1" applyFill="1" applyBorder="1" applyAlignment="1" applyProtection="1">
      <alignment horizontal="center" wrapText="1"/>
      <protection/>
    </xf>
    <xf numFmtId="0" fontId="32" fillId="0" borderId="62" xfId="127" applyFont="1" applyFill="1" applyBorder="1" applyAlignment="1" applyProtection="1">
      <alignment horizontal="center" vertical="center" wrapText="1"/>
      <protection/>
    </xf>
    <xf numFmtId="0" fontId="32" fillId="44" borderId="32" xfId="127" applyFont="1" applyFill="1" applyBorder="1" applyAlignment="1" applyProtection="1">
      <alignment horizontal="center" vertical="center" wrapText="1"/>
      <protection/>
    </xf>
    <xf numFmtId="49" fontId="5" fillId="0" borderId="63" xfId="127" applyNumberFormat="1" applyFont="1" applyFill="1" applyBorder="1" applyAlignment="1" applyProtection="1">
      <alignment horizontal="center" vertical="center" wrapText="1"/>
      <protection/>
    </xf>
    <xf numFmtId="49" fontId="5" fillId="0" borderId="51" xfId="127" applyNumberFormat="1" applyFont="1" applyFill="1" applyBorder="1" applyAlignment="1" applyProtection="1">
      <alignment horizontal="center" vertical="center"/>
      <protection/>
    </xf>
    <xf numFmtId="49" fontId="5" fillId="0" borderId="59" xfId="127" applyNumberFormat="1" applyFont="1" applyFill="1" applyBorder="1" applyAlignment="1" applyProtection="1">
      <alignment horizontal="center" vertical="center"/>
      <protection/>
    </xf>
    <xf numFmtId="49" fontId="5" fillId="0" borderId="58" xfId="127" applyNumberFormat="1" applyFont="1" applyFill="1" applyBorder="1" applyAlignment="1" applyProtection="1">
      <alignment horizontal="center" vertical="center"/>
      <protection/>
    </xf>
    <xf numFmtId="49" fontId="5" fillId="44" borderId="46" xfId="127" applyNumberFormat="1" applyFont="1" applyFill="1" applyBorder="1" applyAlignment="1" applyProtection="1">
      <alignment horizontal="center" vertical="center"/>
      <protection/>
    </xf>
    <xf numFmtId="0" fontId="29" fillId="0" borderId="21" xfId="128" applyFont="1" applyFill="1" applyBorder="1" applyAlignment="1" applyProtection="1">
      <alignment vertical="center" wrapText="1"/>
      <protection/>
    </xf>
    <xf numFmtId="173" fontId="2" fillId="0" borderId="48" xfId="127" applyNumberFormat="1" applyFont="1" applyFill="1" applyBorder="1" applyAlignment="1" applyProtection="1">
      <alignment horizontal="center" vertical="center"/>
      <protection/>
    </xf>
    <xf numFmtId="174" fontId="2" fillId="0" borderId="64" xfId="127" applyNumberFormat="1" applyFont="1" applyFill="1" applyBorder="1" applyAlignment="1" applyProtection="1">
      <alignment vertical="center"/>
      <protection locked="0"/>
    </xf>
    <xf numFmtId="174" fontId="2" fillId="0" borderId="96" xfId="127" applyNumberFormat="1" applyFont="1" applyFill="1" applyBorder="1" applyAlignment="1" applyProtection="1">
      <alignment vertical="center"/>
      <protection locked="0"/>
    </xf>
    <xf numFmtId="174" fontId="2" fillId="44" borderId="45" xfId="127" applyNumberFormat="1" applyFont="1" applyFill="1" applyBorder="1" applyAlignment="1" applyProtection="1">
      <alignment vertical="center"/>
      <protection locked="0"/>
    </xf>
    <xf numFmtId="173" fontId="2" fillId="0" borderId="19" xfId="127" applyNumberFormat="1" applyFont="1" applyFill="1" applyBorder="1" applyAlignment="1" applyProtection="1">
      <alignment horizontal="center" vertical="center"/>
      <protection/>
    </xf>
    <xf numFmtId="174" fontId="2" fillId="0" borderId="26" xfId="127" applyNumberFormat="1" applyFont="1" applyFill="1" applyBorder="1" applyAlignment="1" applyProtection="1">
      <alignment vertical="center"/>
      <protection locked="0"/>
    </xf>
    <xf numFmtId="174" fontId="2" fillId="0" borderId="30" xfId="127" applyNumberFormat="1" applyFont="1" applyFill="1" applyBorder="1" applyAlignment="1" applyProtection="1">
      <alignment vertical="center"/>
      <protection locked="0"/>
    </xf>
    <xf numFmtId="174" fontId="5" fillId="0" borderId="26" xfId="127" applyNumberFormat="1" applyFont="1" applyFill="1" applyBorder="1" applyAlignment="1" applyProtection="1">
      <alignment vertical="center"/>
      <protection/>
    </xf>
    <xf numFmtId="174" fontId="5" fillId="0" borderId="30" xfId="127" applyNumberFormat="1" applyFont="1" applyFill="1" applyBorder="1" applyAlignment="1" applyProtection="1">
      <alignment vertical="center"/>
      <protection/>
    </xf>
    <xf numFmtId="174" fontId="5" fillId="44" borderId="45" xfId="127" applyNumberFormat="1" applyFont="1" applyFill="1" applyBorder="1" applyAlignment="1" applyProtection="1">
      <alignment vertical="center"/>
      <protection locked="0"/>
    </xf>
    <xf numFmtId="174" fontId="2" fillId="0" borderId="26" xfId="127" applyNumberFormat="1" applyFont="1" applyFill="1" applyBorder="1" applyAlignment="1" applyProtection="1">
      <alignment vertical="center"/>
      <protection locked="0"/>
    </xf>
    <xf numFmtId="174" fontId="2" fillId="0" borderId="30" xfId="127" applyNumberFormat="1" applyFont="1" applyFill="1" applyBorder="1" applyAlignment="1" applyProtection="1">
      <alignment vertical="center"/>
      <protection locked="0"/>
    </xf>
    <xf numFmtId="174" fontId="5" fillId="0" borderId="26" xfId="127" applyNumberFormat="1" applyFont="1" applyFill="1" applyBorder="1" applyAlignment="1" applyProtection="1">
      <alignment vertical="center"/>
      <protection locked="0"/>
    </xf>
    <xf numFmtId="174" fontId="5" fillId="0" borderId="30" xfId="127" applyNumberFormat="1" applyFont="1" applyFill="1" applyBorder="1" applyAlignment="1" applyProtection="1">
      <alignment vertical="center"/>
      <protection locked="0"/>
    </xf>
    <xf numFmtId="0" fontId="5" fillId="0" borderId="63" xfId="127" applyFont="1" applyFill="1" applyBorder="1" applyAlignment="1" applyProtection="1">
      <alignment horizontal="left" vertical="center" wrapText="1"/>
      <protection/>
    </xf>
    <xf numFmtId="173" fontId="2" fillId="0" borderId="51" xfId="127" applyNumberFormat="1" applyFont="1" applyFill="1" applyBorder="1" applyAlignment="1" applyProtection="1">
      <alignment horizontal="center" vertical="center"/>
      <protection/>
    </xf>
    <xf numFmtId="174" fontId="5" fillId="0" borderId="59" xfId="127" applyNumberFormat="1" applyFont="1" applyFill="1" applyBorder="1" applyAlignment="1" applyProtection="1">
      <alignment vertical="center"/>
      <protection/>
    </xf>
    <xf numFmtId="174" fontId="5" fillId="0" borderId="58" xfId="127" applyNumberFormat="1" applyFont="1" applyFill="1" applyBorder="1" applyAlignment="1" applyProtection="1">
      <alignment vertical="center"/>
      <protection/>
    </xf>
    <xf numFmtId="174" fontId="5" fillId="44" borderId="34" xfId="127" applyNumberFormat="1" applyFont="1" applyFill="1" applyBorder="1" applyAlignment="1" applyProtection="1">
      <alignment vertical="center"/>
      <protection locked="0"/>
    </xf>
    <xf numFmtId="0" fontId="27" fillId="44" borderId="59" xfId="128" applyFont="1" applyFill="1" applyBorder="1" applyAlignment="1" applyProtection="1">
      <alignment horizontal="center" vertical="center" wrapText="1"/>
      <protection/>
    </xf>
    <xf numFmtId="172" fontId="16" fillId="44" borderId="26" xfId="128" applyNumberFormat="1" applyFont="1" applyFill="1" applyBorder="1" applyAlignment="1" applyProtection="1">
      <alignment horizontal="right" vertical="center" wrapText="1"/>
      <protection locked="0"/>
    </xf>
    <xf numFmtId="172" fontId="17" fillId="44" borderId="77" xfId="128" applyNumberFormat="1" applyFont="1" applyFill="1" applyBorder="1" applyAlignment="1" applyProtection="1">
      <alignment horizontal="right" vertical="center" wrapText="1"/>
      <protection locked="0"/>
    </xf>
    <xf numFmtId="172" fontId="17" fillId="44" borderId="26" xfId="128" applyNumberFormat="1" applyFont="1" applyFill="1" applyBorder="1" applyAlignment="1" applyProtection="1">
      <alignment horizontal="right" vertical="center" wrapText="1"/>
      <protection locked="0"/>
    </xf>
    <xf numFmtId="172" fontId="17" fillId="0" borderId="77" xfId="128" applyNumberFormat="1" applyFont="1" applyFill="1" applyBorder="1" applyAlignment="1" applyProtection="1">
      <alignment horizontal="right" vertical="center" wrapText="1"/>
      <protection locked="0"/>
    </xf>
    <xf numFmtId="172" fontId="17" fillId="0" borderId="26" xfId="128" applyNumberFormat="1" applyFont="1" applyFill="1" applyBorder="1" applyAlignment="1" applyProtection="1">
      <alignment horizontal="right" vertical="center" wrapText="1"/>
      <protection/>
    </xf>
    <xf numFmtId="172" fontId="26" fillId="0" borderId="26" xfId="128" applyNumberFormat="1" applyFont="1" applyFill="1" applyBorder="1" applyAlignment="1" applyProtection="1">
      <alignment horizontal="right" vertical="center" wrapText="1"/>
      <protection locked="0"/>
    </xf>
    <xf numFmtId="172" fontId="27" fillId="0" borderId="26" xfId="128" applyNumberFormat="1" applyFont="1" applyFill="1" applyBorder="1" applyAlignment="1" applyProtection="1">
      <alignment horizontal="right" vertical="center" wrapText="1"/>
      <protection/>
    </xf>
    <xf numFmtId="172" fontId="27" fillId="44" borderId="26" xfId="128" applyNumberFormat="1" applyFont="1" applyFill="1" applyBorder="1" applyAlignment="1" applyProtection="1">
      <alignment horizontal="right" vertical="center" wrapText="1"/>
      <protection locked="0"/>
    </xf>
    <xf numFmtId="172" fontId="17" fillId="0" borderId="26" xfId="128" applyNumberFormat="1" applyFont="1" applyFill="1" applyBorder="1" applyAlignment="1" applyProtection="1">
      <alignment horizontal="right" vertical="center" wrapText="1"/>
      <protection locked="0"/>
    </xf>
    <xf numFmtId="172" fontId="27" fillId="0" borderId="26" xfId="128" applyNumberFormat="1" applyFont="1" applyFill="1" applyBorder="1" applyAlignment="1" applyProtection="1">
      <alignment horizontal="right" vertical="center" wrapText="1"/>
      <protection locked="0"/>
    </xf>
    <xf numFmtId="172" fontId="51" fillId="0" borderId="26" xfId="128" applyNumberFormat="1" applyFont="1" applyFill="1" applyBorder="1" applyAlignment="1" applyProtection="1">
      <alignment horizontal="right" vertical="center" wrapText="1"/>
      <protection/>
    </xf>
    <xf numFmtId="172" fontId="51" fillId="44" borderId="26" xfId="128" applyNumberFormat="1" applyFont="1" applyFill="1" applyBorder="1" applyAlignment="1" applyProtection="1">
      <alignment horizontal="right" vertical="center" wrapText="1"/>
      <protection locked="0"/>
    </xf>
    <xf numFmtId="172" fontId="51" fillId="0" borderId="26" xfId="128" applyNumberFormat="1" applyFont="1" applyFill="1" applyBorder="1" applyAlignment="1" applyProtection="1">
      <alignment horizontal="right" vertical="center" wrapText="1"/>
      <protection locked="0"/>
    </xf>
    <xf numFmtId="172" fontId="51" fillId="44" borderId="59" xfId="128" applyNumberFormat="1" applyFont="1" applyFill="1" applyBorder="1" applyAlignment="1" applyProtection="1">
      <alignment horizontal="right" vertical="center" wrapText="1"/>
      <protection locked="0"/>
    </xf>
    <xf numFmtId="0" fontId="51" fillId="44" borderId="63" xfId="128" applyFont="1" applyFill="1" applyBorder="1" applyAlignment="1" applyProtection="1">
      <alignment vertical="center" wrapText="1"/>
      <protection/>
    </xf>
    <xf numFmtId="172" fontId="51" fillId="44" borderId="59" xfId="128" applyNumberFormat="1" applyFont="1" applyFill="1" applyBorder="1" applyAlignment="1" applyProtection="1">
      <alignment horizontal="right" vertical="center" wrapText="1"/>
      <protection/>
    </xf>
    <xf numFmtId="0" fontId="38" fillId="0" borderId="62" xfId="128" applyFont="1" applyFill="1" applyBorder="1" applyAlignment="1" applyProtection="1">
      <alignment wrapText="1"/>
      <protection/>
    </xf>
    <xf numFmtId="0" fontId="27" fillId="0" borderId="58" xfId="128" applyFont="1" applyFill="1" applyBorder="1" applyAlignment="1" applyProtection="1">
      <alignment horizontal="center" vertical="center" wrapText="1"/>
      <protection/>
    </xf>
    <xf numFmtId="173" fontId="13" fillId="0" borderId="55" xfId="127" applyNumberFormat="1" applyFont="1" applyFill="1" applyBorder="1" applyAlignment="1" applyProtection="1">
      <alignment horizontal="center" vertical="center"/>
      <protection/>
    </xf>
    <xf numFmtId="173" fontId="13" fillId="0" borderId="30" xfId="127" applyNumberFormat="1" applyFont="1" applyFill="1" applyBorder="1" applyAlignment="1" applyProtection="1">
      <alignment horizontal="center" vertical="center"/>
      <protection/>
    </xf>
    <xf numFmtId="173" fontId="12" fillId="0" borderId="30" xfId="127" applyNumberFormat="1" applyFont="1" applyFill="1" applyBorder="1" applyAlignment="1" applyProtection="1">
      <alignment horizontal="center" vertical="center"/>
      <protection/>
    </xf>
    <xf numFmtId="173" fontId="3" fillId="0" borderId="30" xfId="127" applyNumberFormat="1" applyFont="1" applyFill="1" applyBorder="1" applyAlignment="1" applyProtection="1">
      <alignment horizontal="center" vertical="center"/>
      <protection/>
    </xf>
    <xf numFmtId="173" fontId="3" fillId="44" borderId="58" xfId="127" applyNumberFormat="1" applyFont="1" applyFill="1" applyBorder="1" applyAlignment="1" applyProtection="1">
      <alignment horizontal="center" vertical="center"/>
      <protection/>
    </xf>
    <xf numFmtId="172" fontId="17" fillId="0" borderId="60" xfId="128" applyNumberFormat="1" applyFont="1" applyFill="1" applyBorder="1" applyAlignment="1" applyProtection="1">
      <alignment horizontal="right" vertical="center" wrapText="1"/>
      <protection locked="0"/>
    </xf>
    <xf numFmtId="172" fontId="17" fillId="0" borderId="21" xfId="128" applyNumberFormat="1" applyFont="1" applyFill="1" applyBorder="1" applyAlignment="1" applyProtection="1">
      <alignment horizontal="right" vertical="center" wrapText="1"/>
      <protection/>
    </xf>
    <xf numFmtId="172" fontId="27" fillId="0" borderId="21" xfId="128" applyNumberFormat="1" applyFont="1" applyFill="1" applyBorder="1" applyAlignment="1" applyProtection="1">
      <alignment horizontal="right" vertical="center" wrapText="1"/>
      <protection/>
    </xf>
    <xf numFmtId="172" fontId="26" fillId="0" borderId="21" xfId="128" applyNumberFormat="1" applyFont="1" applyFill="1" applyBorder="1" applyAlignment="1" applyProtection="1">
      <alignment horizontal="right" vertical="center" wrapText="1"/>
      <protection locked="0"/>
    </xf>
    <xf numFmtId="172" fontId="16" fillId="0" borderId="21" xfId="128" applyNumberFormat="1" applyFont="1" applyFill="1" applyBorder="1" applyAlignment="1" applyProtection="1">
      <alignment horizontal="right" vertical="center" wrapText="1"/>
      <protection locked="0"/>
    </xf>
    <xf numFmtId="172" fontId="27" fillId="0" borderId="21" xfId="128" applyNumberFormat="1" applyFont="1" applyFill="1" applyBorder="1" applyAlignment="1" applyProtection="1">
      <alignment horizontal="right" vertical="center" wrapText="1"/>
      <protection locked="0"/>
    </xf>
    <xf numFmtId="172" fontId="51" fillId="0" borderId="21" xfId="128" applyNumberFormat="1" applyFont="1" applyFill="1" applyBorder="1" applyAlignment="1" applyProtection="1">
      <alignment horizontal="right" vertical="center" wrapText="1"/>
      <protection/>
    </xf>
    <xf numFmtId="172" fontId="17" fillId="0" borderId="21" xfId="128" applyNumberFormat="1" applyFont="1" applyFill="1" applyBorder="1" applyAlignment="1" applyProtection="1">
      <alignment horizontal="right" vertical="center" wrapText="1"/>
      <protection locked="0"/>
    </xf>
    <xf numFmtId="172" fontId="51" fillId="0" borderId="21" xfId="128" applyNumberFormat="1" applyFont="1" applyFill="1" applyBorder="1" applyAlignment="1" applyProtection="1">
      <alignment horizontal="right" vertical="center" wrapText="1"/>
      <protection locked="0"/>
    </xf>
    <xf numFmtId="172" fontId="51" fillId="44" borderId="63" xfId="128" applyNumberFormat="1" applyFont="1" applyFill="1" applyBorder="1" applyAlignment="1" applyProtection="1">
      <alignment horizontal="right" vertical="center" wrapText="1"/>
      <protection/>
    </xf>
    <xf numFmtId="172" fontId="51" fillId="44" borderId="97" xfId="128" applyNumberFormat="1" applyFont="1" applyFill="1" applyBorder="1" applyAlignment="1" applyProtection="1">
      <alignment horizontal="right" vertical="center" wrapText="1"/>
      <protection/>
    </xf>
    <xf numFmtId="172" fontId="51" fillId="44" borderId="75" xfId="128" applyNumberFormat="1" applyFont="1" applyFill="1" applyBorder="1" applyAlignment="1" applyProtection="1">
      <alignment horizontal="right" vertical="center" wrapText="1"/>
      <protection/>
    </xf>
    <xf numFmtId="172" fontId="51" fillId="0" borderId="63" xfId="128" applyNumberFormat="1" applyFont="1" applyFill="1" applyBorder="1" applyAlignment="1" applyProtection="1">
      <alignment horizontal="right" vertical="center" wrapText="1"/>
      <protection locked="0"/>
    </xf>
    <xf numFmtId="172" fontId="51" fillId="0" borderId="59" xfId="128" applyNumberFormat="1" applyFont="1" applyFill="1" applyBorder="1" applyAlignment="1" applyProtection="1">
      <alignment horizontal="right" vertical="center" wrapText="1"/>
      <protection locked="0"/>
    </xf>
    <xf numFmtId="0" fontId="27" fillId="44" borderId="84" xfId="128" applyFont="1" applyFill="1" applyBorder="1" applyAlignment="1" applyProtection="1">
      <alignment horizontal="center" vertical="center" wrapText="1"/>
      <protection/>
    </xf>
    <xf numFmtId="172" fontId="17" fillId="44" borderId="82" xfId="128" applyNumberFormat="1" applyFont="1" applyFill="1" applyBorder="1" applyAlignment="1" applyProtection="1">
      <alignment horizontal="right" vertical="center" wrapText="1"/>
      <protection locked="0"/>
    </xf>
    <xf numFmtId="172" fontId="17" fillId="44" borderId="67" xfId="128" applyNumberFormat="1" applyFont="1" applyFill="1" applyBorder="1" applyAlignment="1" applyProtection="1">
      <alignment horizontal="right" vertical="center" wrapText="1"/>
      <protection locked="0"/>
    </xf>
    <xf numFmtId="172" fontId="27" fillId="44" borderId="67" xfId="128" applyNumberFormat="1" applyFont="1" applyFill="1" applyBorder="1" applyAlignment="1" applyProtection="1">
      <alignment horizontal="right" vertical="center" wrapText="1"/>
      <protection locked="0"/>
    </xf>
    <xf numFmtId="172" fontId="16" fillId="44" borderId="67" xfId="128" applyNumberFormat="1" applyFont="1" applyFill="1" applyBorder="1" applyAlignment="1" applyProtection="1">
      <alignment horizontal="right" vertical="center" wrapText="1"/>
      <protection locked="0"/>
    </xf>
    <xf numFmtId="172" fontId="51" fillId="44" borderId="67" xfId="128" applyNumberFormat="1" applyFont="1" applyFill="1" applyBorder="1" applyAlignment="1" applyProtection="1">
      <alignment horizontal="right" vertical="center" wrapText="1"/>
      <protection locked="0"/>
    </xf>
    <xf numFmtId="172" fontId="51" fillId="44" borderId="84" xfId="128" applyNumberFormat="1" applyFont="1" applyFill="1" applyBorder="1" applyAlignment="1" applyProtection="1">
      <alignment horizontal="right" vertical="center" wrapText="1"/>
      <protection locked="0"/>
    </xf>
    <xf numFmtId="174" fontId="12" fillId="0" borderId="32" xfId="127" applyNumberFormat="1" applyFont="1" applyFill="1" applyBorder="1" applyAlignment="1" applyProtection="1">
      <alignment vertical="center"/>
      <protection/>
    </xf>
    <xf numFmtId="0" fontId="15" fillId="0" borderId="61" xfId="128" applyFont="1" applyFill="1" applyBorder="1" applyAlignment="1">
      <alignment horizontal="center" vertical="center" wrapText="1"/>
      <protection/>
    </xf>
    <xf numFmtId="0" fontId="15" fillId="0" borderId="62" xfId="128" applyFont="1" applyFill="1" applyBorder="1" applyAlignment="1">
      <alignment horizontal="center" vertical="center" wrapText="1"/>
      <protection/>
    </xf>
    <xf numFmtId="3" fontId="16" fillId="0" borderId="96" xfId="128" applyNumberFormat="1" applyFont="1" applyFill="1" applyBorder="1" applyProtection="1">
      <alignment/>
      <protection locked="0"/>
    </xf>
    <xf numFmtId="3" fontId="16" fillId="0" borderId="30" xfId="128" applyNumberFormat="1" applyFont="1" applyFill="1" applyBorder="1" applyProtection="1">
      <alignment/>
      <protection locked="0"/>
    </xf>
    <xf numFmtId="3" fontId="16" fillId="0" borderId="31" xfId="128" applyNumberFormat="1" applyFont="1" applyFill="1" applyBorder="1" applyProtection="1">
      <alignment/>
      <protection locked="0"/>
    </xf>
    <xf numFmtId="174" fontId="12" fillId="0" borderId="62" xfId="127" applyNumberFormat="1" applyFont="1" applyFill="1" applyBorder="1" applyAlignment="1" applyProtection="1">
      <alignment vertical="center"/>
      <protection/>
    </xf>
    <xf numFmtId="0" fontId="15" fillId="44" borderId="72" xfId="128" applyFont="1" applyFill="1" applyBorder="1" applyAlignment="1">
      <alignment horizontal="center" vertical="center" wrapText="1"/>
      <protection/>
    </xf>
    <xf numFmtId="0" fontId="15" fillId="44" borderId="32" xfId="128" applyFont="1" applyFill="1" applyBorder="1" applyAlignment="1">
      <alignment horizontal="center" vertical="center" wrapText="1"/>
      <protection/>
    </xf>
    <xf numFmtId="3" fontId="16" fillId="44" borderId="45" xfId="128" applyNumberFormat="1" applyFont="1" applyFill="1" applyBorder="1" applyProtection="1">
      <alignment/>
      <protection locked="0"/>
    </xf>
    <xf numFmtId="3" fontId="16" fillId="44" borderId="72" xfId="128" applyNumberFormat="1" applyFont="1" applyFill="1" applyBorder="1" applyProtection="1">
      <alignment/>
      <protection locked="0"/>
    </xf>
    <xf numFmtId="3" fontId="16" fillId="44" borderId="32" xfId="128" applyNumberFormat="1" applyFont="1" applyFill="1" applyBorder="1" applyProtection="1">
      <alignment/>
      <protection locked="0"/>
    </xf>
    <xf numFmtId="3" fontId="17" fillId="44" borderId="32" xfId="128" applyNumberFormat="1" applyFont="1" applyFill="1" applyBorder="1" applyProtection="1">
      <alignment/>
      <protection locked="0"/>
    </xf>
    <xf numFmtId="0" fontId="15" fillId="0" borderId="42" xfId="128" applyFont="1" applyFill="1" applyBorder="1" applyAlignment="1">
      <alignment horizontal="center" vertical="center"/>
      <protection/>
    </xf>
    <xf numFmtId="0" fontId="16" fillId="0" borderId="38" xfId="128" applyFont="1" applyFill="1" applyBorder="1" applyProtection="1">
      <alignment/>
      <protection locked="0"/>
    </xf>
    <xf numFmtId="0" fontId="16" fillId="0" borderId="40" xfId="128" applyFont="1" applyFill="1" applyBorder="1" applyProtection="1">
      <alignment/>
      <protection locked="0"/>
    </xf>
    <xf numFmtId="0" fontId="17" fillId="0" borderId="42" xfId="128" applyFont="1" applyFill="1" applyBorder="1" applyProtection="1">
      <alignment/>
      <protection locked="0"/>
    </xf>
    <xf numFmtId="0" fontId="16" fillId="0" borderId="98" xfId="128" applyFont="1" applyFill="1" applyBorder="1" applyProtection="1">
      <alignment/>
      <protection locked="0"/>
    </xf>
    <xf numFmtId="0" fontId="20" fillId="0" borderId="52" xfId="127" applyFont="1" applyFill="1" applyBorder="1" applyAlignment="1" applyProtection="1">
      <alignment horizontal="center" vertical="center" wrapText="1"/>
      <protection/>
    </xf>
    <xf numFmtId="0" fontId="15" fillId="0" borderId="80" xfId="128" applyFont="1" applyFill="1" applyBorder="1" applyAlignment="1">
      <alignment horizontal="center" vertical="center" wrapText="1"/>
      <protection/>
    </xf>
    <xf numFmtId="0" fontId="15" fillId="0" borderId="49" xfId="128" applyFont="1" applyFill="1" applyBorder="1" applyAlignment="1">
      <alignment horizontal="center" vertical="center" wrapText="1"/>
      <protection/>
    </xf>
    <xf numFmtId="3" fontId="16" fillId="0" borderId="68" xfId="128" applyNumberFormat="1" applyFont="1" applyFill="1" applyBorder="1" applyProtection="1">
      <alignment/>
      <protection locked="0"/>
    </xf>
    <xf numFmtId="3" fontId="16" fillId="0" borderId="53" xfId="128" applyNumberFormat="1" applyFont="1" applyFill="1" applyBorder="1" applyProtection="1">
      <alignment/>
      <protection locked="0"/>
    </xf>
    <xf numFmtId="3" fontId="16" fillId="0" borderId="69" xfId="128" applyNumberFormat="1" applyFont="1" applyFill="1" applyBorder="1" applyProtection="1">
      <alignment/>
      <protection locked="0"/>
    </xf>
    <xf numFmtId="174" fontId="12" fillId="0" borderId="49" xfId="127" applyNumberFormat="1" applyFont="1" applyFill="1" applyBorder="1" applyAlignment="1" applyProtection="1">
      <alignment vertical="center"/>
      <protection/>
    </xf>
    <xf numFmtId="0" fontId="15" fillId="0" borderId="32" xfId="128" applyFont="1" applyFill="1" applyBorder="1" applyAlignment="1">
      <alignment horizontal="center" vertical="center" wrapText="1"/>
      <protection/>
    </xf>
    <xf numFmtId="0" fontId="16" fillId="0" borderId="45" xfId="128" applyFont="1" applyFill="1" applyBorder="1" applyAlignment="1">
      <alignment horizontal="right" indent="1"/>
      <protection/>
    </xf>
    <xf numFmtId="0" fontId="16" fillId="0" borderId="39" xfId="128" applyFont="1" applyFill="1" applyBorder="1" applyAlignment="1">
      <alignment horizontal="right" indent="1"/>
      <protection/>
    </xf>
    <xf numFmtId="0" fontId="16" fillId="0" borderId="41" xfId="128" applyFont="1" applyFill="1" applyBorder="1" applyAlignment="1">
      <alignment horizontal="right" indent="1"/>
      <protection/>
    </xf>
    <xf numFmtId="0" fontId="17" fillId="0" borderId="32" xfId="128" applyFont="1" applyFill="1" applyBorder="1" applyAlignment="1">
      <alignment horizontal="right" indent="1"/>
      <protection/>
    </xf>
    <xf numFmtId="0" fontId="16" fillId="0" borderId="32" xfId="128" applyFont="1" applyFill="1" applyBorder="1" applyAlignment="1">
      <alignment horizontal="right" indent="1"/>
      <protection/>
    </xf>
    <xf numFmtId="164" fontId="21" fillId="0" borderId="0" xfId="0" applyNumberFormat="1" applyFont="1" applyFill="1" applyAlignment="1" applyProtection="1">
      <alignment vertical="center" wrapText="1"/>
      <protection locked="0"/>
    </xf>
    <xf numFmtId="164" fontId="3" fillId="0" borderId="26" xfId="0" applyNumberFormat="1" applyFont="1" applyFill="1" applyBorder="1" applyAlignment="1">
      <alignment vertical="center" wrapText="1"/>
    </xf>
    <xf numFmtId="0" fontId="12" fillId="0" borderId="74" xfId="0" applyFont="1" applyFill="1" applyBorder="1" applyAlignment="1" applyProtection="1">
      <alignment horizontal="center" vertical="center" wrapText="1"/>
      <protection/>
    </xf>
    <xf numFmtId="0" fontId="12" fillId="0" borderId="70" xfId="126" applyFont="1" applyFill="1" applyBorder="1" applyAlignment="1" applyProtection="1">
      <alignment horizontal="left" vertical="center" wrapText="1" indent="1"/>
      <protection/>
    </xf>
    <xf numFmtId="164" fontId="12" fillId="0" borderId="7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9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74" xfId="126" applyFont="1" applyFill="1" applyBorder="1" applyAlignment="1" applyProtection="1">
      <alignment horizontal="center" vertical="center" wrapText="1"/>
      <protection/>
    </xf>
    <xf numFmtId="0" fontId="12" fillId="0" borderId="70" xfId="126" applyFont="1" applyFill="1" applyBorder="1" applyAlignment="1" applyProtection="1">
      <alignment horizontal="left" vertical="center" wrapText="1" indent="1"/>
      <protection/>
    </xf>
    <xf numFmtId="164" fontId="12" fillId="0" borderId="70" xfId="126" applyNumberFormat="1" applyFont="1" applyFill="1" applyBorder="1" applyAlignment="1" applyProtection="1">
      <alignment horizontal="right" vertical="center" wrapText="1" indent="1"/>
      <protection/>
    </xf>
    <xf numFmtId="164" fontId="12" fillId="0" borderId="94" xfId="126" applyNumberFormat="1" applyFont="1" applyFill="1" applyBorder="1" applyAlignment="1" applyProtection="1">
      <alignment horizontal="right" vertical="center" wrapText="1" indent="1"/>
      <protection/>
    </xf>
    <xf numFmtId="0" fontId="12" fillId="0" borderId="73" xfId="126" applyFont="1" applyFill="1" applyBorder="1" applyAlignment="1" applyProtection="1">
      <alignment horizontal="center" vertical="center" wrapText="1"/>
      <protection/>
    </xf>
    <xf numFmtId="0" fontId="12" fillId="0" borderId="27" xfId="126" applyFont="1" applyFill="1" applyBorder="1" applyAlignment="1" applyProtection="1">
      <alignment vertical="center" wrapText="1"/>
      <protection/>
    </xf>
    <xf numFmtId="164" fontId="12" fillId="0" borderId="95" xfId="126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70" xfId="126" applyFont="1" applyFill="1" applyBorder="1" applyAlignment="1" applyProtection="1">
      <alignment horizontal="center" vertical="center" wrapText="1"/>
      <protection/>
    </xf>
    <xf numFmtId="0" fontId="5" fillId="0" borderId="75" xfId="126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>
      <alignment horizontal="center" vertical="center" wrapText="1"/>
    </xf>
    <xf numFmtId="175" fontId="6" fillId="0" borderId="64" xfId="0" applyNumberFormat="1" applyFont="1" applyFill="1" applyBorder="1" applyAlignment="1" applyProtection="1">
      <alignment horizontal="right" vertical="center"/>
      <protection/>
    </xf>
    <xf numFmtId="175" fontId="11" fillId="0" borderId="26" xfId="0" applyNumberFormat="1" applyFont="1" applyFill="1" applyBorder="1" applyAlignment="1" applyProtection="1">
      <alignment horizontal="right" vertical="center"/>
      <protection locked="0"/>
    </xf>
    <xf numFmtId="175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left" vertical="center" wrapText="1" indent="1"/>
      <protection locked="0"/>
    </xf>
    <xf numFmtId="0" fontId="77" fillId="0" borderId="39" xfId="0" applyFont="1" applyFill="1" applyBorder="1" applyAlignment="1">
      <alignment horizontal="left" vertical="center" indent="5"/>
    </xf>
    <xf numFmtId="0" fontId="77" fillId="0" borderId="46" xfId="0" applyFont="1" applyFill="1" applyBorder="1" applyAlignment="1">
      <alignment horizontal="left" vertical="center" indent="5"/>
    </xf>
    <xf numFmtId="175" fontId="6" fillId="0" borderId="37" xfId="0" applyNumberFormat="1" applyFont="1" applyFill="1" applyBorder="1" applyAlignment="1" applyProtection="1">
      <alignment horizontal="right" vertical="center"/>
      <protection/>
    </xf>
    <xf numFmtId="175" fontId="11" fillId="0" borderId="39" xfId="0" applyNumberFormat="1" applyFont="1" applyFill="1" applyBorder="1" applyAlignment="1" applyProtection="1">
      <alignment horizontal="right" vertical="center"/>
      <protection locked="0"/>
    </xf>
    <xf numFmtId="175" fontId="11" fillId="0" borderId="46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indent="1"/>
    </xf>
    <xf numFmtId="0" fontId="0" fillId="0" borderId="46" xfId="0" applyFont="1" applyFill="1" applyBorder="1" applyAlignment="1">
      <alignment horizontal="left" vertical="center" indent="1"/>
    </xf>
    <xf numFmtId="175" fontId="11" fillId="0" borderId="99" xfId="0" applyNumberFormat="1" applyFont="1" applyFill="1" applyBorder="1" applyAlignment="1" applyProtection="1">
      <alignment horizontal="right" vertical="center"/>
      <protection locked="0"/>
    </xf>
    <xf numFmtId="175" fontId="11" fillId="0" borderId="100" xfId="0" applyNumberFormat="1" applyFont="1" applyFill="1" applyBorder="1" applyAlignment="1" applyProtection="1">
      <alignment horizontal="right" vertical="center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175" fontId="6" fillId="0" borderId="35" xfId="0" applyNumberFormat="1" applyFont="1" applyFill="1" applyBorder="1" applyAlignment="1" applyProtection="1">
      <alignment horizontal="right" vertical="center"/>
      <protection/>
    </xf>
    <xf numFmtId="175" fontId="11" fillId="0" borderId="38" xfId="0" applyNumberFormat="1" applyFont="1" applyFill="1" applyBorder="1" applyAlignment="1" applyProtection="1">
      <alignment horizontal="right" vertical="center"/>
      <protection locked="0"/>
    </xf>
    <xf numFmtId="175" fontId="11" fillId="0" borderId="78" xfId="0" applyNumberFormat="1" applyFont="1" applyFill="1" applyBorder="1" applyAlignment="1" applyProtection="1">
      <alignment horizontal="right" vertic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175" fontId="6" fillId="0" borderId="96" xfId="0" applyNumberFormat="1" applyFont="1" applyFill="1" applyBorder="1" applyAlignment="1" applyProtection="1">
      <alignment horizontal="right" vertical="center"/>
      <protection/>
    </xf>
    <xf numFmtId="175" fontId="11" fillId="0" borderId="30" xfId="0" applyNumberFormat="1" applyFont="1" applyFill="1" applyBorder="1" applyAlignment="1" applyProtection="1">
      <alignment horizontal="right" vertical="center"/>
      <protection locked="0"/>
    </xf>
    <xf numFmtId="175" fontId="11" fillId="0" borderId="58" xfId="0" applyNumberFormat="1" applyFont="1" applyFill="1" applyBorder="1" applyAlignment="1" applyProtection="1">
      <alignment horizontal="right" vertical="center"/>
      <protection locked="0"/>
    </xf>
    <xf numFmtId="0" fontId="5" fillId="41" borderId="32" xfId="0" applyFont="1" applyFill="1" applyBorder="1" applyAlignment="1">
      <alignment horizontal="center" vertical="center" wrapText="1"/>
    </xf>
    <xf numFmtId="0" fontId="19" fillId="41" borderId="32" xfId="0" applyFont="1" applyFill="1" applyBorder="1" applyAlignment="1">
      <alignment horizontal="center" vertical="center" wrapText="1"/>
    </xf>
    <xf numFmtId="175" fontId="6" fillId="41" borderId="37" xfId="0" applyNumberFormat="1" applyFont="1" applyFill="1" applyBorder="1" applyAlignment="1" applyProtection="1">
      <alignment horizontal="right" vertical="center"/>
      <protection/>
    </xf>
    <xf numFmtId="175" fontId="6" fillId="41" borderId="39" xfId="0" applyNumberFormat="1" applyFont="1" applyFill="1" applyBorder="1" applyAlignment="1" applyProtection="1">
      <alignment horizontal="right" vertical="center"/>
      <protection/>
    </xf>
    <xf numFmtId="175" fontId="6" fillId="41" borderId="46" xfId="0" applyNumberFormat="1" applyFont="1" applyFill="1" applyBorder="1" applyAlignment="1" applyProtection="1">
      <alignment horizontal="right" vertical="center"/>
      <protection/>
    </xf>
    <xf numFmtId="164" fontId="5" fillId="0" borderId="0" xfId="126" applyNumberFormat="1" applyFont="1" applyFill="1" applyBorder="1" applyAlignment="1" applyProtection="1">
      <alignment horizontal="center" vertical="center"/>
      <protection/>
    </xf>
    <xf numFmtId="164" fontId="5" fillId="0" borderId="42" xfId="126" applyNumberFormat="1" applyFont="1" applyFill="1" applyBorder="1" applyAlignment="1" applyProtection="1">
      <alignment horizontal="center" vertical="center"/>
      <protection/>
    </xf>
    <xf numFmtId="164" fontId="5" fillId="0" borderId="86" xfId="126" applyNumberFormat="1" applyFont="1" applyFill="1" applyBorder="1" applyAlignment="1" applyProtection="1">
      <alignment horizontal="center" vertical="center"/>
      <protection/>
    </xf>
    <xf numFmtId="164" fontId="5" fillId="0" borderId="49" xfId="126" applyNumberFormat="1" applyFont="1" applyFill="1" applyBorder="1" applyAlignment="1" applyProtection="1">
      <alignment horizontal="center" vertical="center"/>
      <protection/>
    </xf>
    <xf numFmtId="0" fontId="5" fillId="0" borderId="0" xfId="126" applyFont="1" applyFill="1" applyAlignment="1" applyProtection="1">
      <alignment horizontal="center"/>
      <protection/>
    </xf>
    <xf numFmtId="0" fontId="5" fillId="0" borderId="60" xfId="126" applyFont="1" applyFill="1" applyBorder="1" applyAlignment="1" applyProtection="1">
      <alignment horizontal="center" vertical="center" wrapText="1"/>
      <protection/>
    </xf>
    <xf numFmtId="0" fontId="5" fillId="0" borderId="63" xfId="126" applyFont="1" applyFill="1" applyBorder="1" applyAlignment="1" applyProtection="1">
      <alignment horizontal="center" vertical="center" wrapText="1"/>
      <protection/>
    </xf>
    <xf numFmtId="0" fontId="5" fillId="0" borderId="55" xfId="126" applyFont="1" applyFill="1" applyBorder="1" applyAlignment="1" applyProtection="1">
      <alignment horizontal="center" vertical="center" wrapText="1"/>
      <protection/>
    </xf>
    <xf numFmtId="0" fontId="5" fillId="0" borderId="51" xfId="126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7" xfId="0" applyNumberFormat="1" applyFont="1" applyFill="1" applyBorder="1" applyAlignment="1" applyProtection="1">
      <alignment horizontal="center" vertical="center" wrapText="1"/>
      <protection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28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left" vertical="center" wrapText="1"/>
    </xf>
    <xf numFmtId="164" fontId="4" fillId="0" borderId="28" xfId="0" applyNumberFormat="1" applyFont="1" applyFill="1" applyBorder="1" applyAlignment="1">
      <alignment horizontal="right" vertical="center"/>
    </xf>
    <xf numFmtId="164" fontId="12" fillId="0" borderId="32" xfId="0" applyNumberFormat="1" applyFont="1" applyFill="1" applyBorder="1" applyAlignment="1">
      <alignment horizontal="center" vertical="center" wrapText="1"/>
    </xf>
    <xf numFmtId="171" fontId="27" fillId="0" borderId="43" xfId="0" applyNumberFormat="1" applyFont="1" applyFill="1" applyBorder="1" applyAlignment="1">
      <alignment horizontal="left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164" fontId="12" fillId="0" borderId="3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textRotation="180"/>
    </xf>
    <xf numFmtId="164" fontId="0" fillId="0" borderId="35" xfId="0" applyNumberFormat="1" applyFill="1" applyBorder="1" applyAlignment="1" applyProtection="1">
      <alignment horizontal="left" vertical="center" wrapText="1"/>
      <protection locked="0"/>
    </xf>
    <xf numFmtId="164" fontId="0" fillId="0" borderId="56" xfId="0" applyNumberFormat="1" applyFill="1" applyBorder="1" applyAlignment="1" applyProtection="1">
      <alignment horizontal="left" vertical="center" wrapText="1"/>
      <protection locked="0"/>
    </xf>
    <xf numFmtId="164" fontId="0" fillId="0" borderId="78" xfId="0" applyNumberFormat="1" applyFill="1" applyBorder="1" applyAlignment="1" applyProtection="1">
      <alignment horizontal="left" vertical="center" wrapText="1"/>
      <protection locked="0"/>
    </xf>
    <xf numFmtId="164" fontId="0" fillId="0" borderId="100" xfId="0" applyNumberFormat="1" applyFill="1" applyBorder="1" applyAlignment="1" applyProtection="1">
      <alignment horizontal="left" vertical="center" wrapText="1"/>
      <protection locked="0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164" fontId="3" fillId="0" borderId="86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101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left" vertical="center" wrapText="1" indent="2"/>
    </xf>
    <xf numFmtId="164" fontId="3" fillId="0" borderId="86" xfId="0" applyNumberFormat="1" applyFont="1" applyFill="1" applyBorder="1" applyAlignment="1">
      <alignment horizontal="left" vertical="center" wrapText="1" indent="2"/>
    </xf>
    <xf numFmtId="0" fontId="23" fillId="0" borderId="0" xfId="0" applyFont="1" applyAlignment="1" applyProtection="1">
      <alignment horizontal="right" vertical="top"/>
      <protection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86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86" xfId="0" applyFont="1" applyFill="1" applyBorder="1" applyAlignment="1" applyProtection="1">
      <alignment horizontal="center" vertical="center" wrapText="1"/>
      <protection/>
    </xf>
    <xf numFmtId="0" fontId="5" fillId="0" borderId="49" xfId="0" applyFont="1" applyFill="1" applyBorder="1" applyAlignment="1" applyProtection="1">
      <alignment horizontal="center" vertical="center" wrapText="1"/>
      <protection/>
    </xf>
    <xf numFmtId="0" fontId="39" fillId="0" borderId="28" xfId="0" applyFont="1" applyBorder="1" applyAlignment="1" applyProtection="1">
      <alignment horizontal="right" vertical="top"/>
      <protection locked="0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86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5" fillId="0" borderId="101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left" vertical="center" wrapText="1" indent="1"/>
      <protection/>
    </xf>
    <xf numFmtId="0" fontId="6" fillId="0" borderId="52" xfId="0" applyFont="1" applyFill="1" applyBorder="1" applyAlignment="1" applyProtection="1">
      <alignment horizontal="left" vertical="center" wrapText="1" indent="1"/>
      <protection/>
    </xf>
    <xf numFmtId="0" fontId="6" fillId="0" borderId="102" xfId="0" applyFont="1" applyFill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right"/>
    </xf>
    <xf numFmtId="0" fontId="29" fillId="0" borderId="35" xfId="126" applyFont="1" applyFill="1" applyBorder="1" applyAlignment="1" applyProtection="1">
      <alignment horizontal="center"/>
      <protection/>
    </xf>
    <xf numFmtId="0" fontId="29" fillId="0" borderId="56" xfId="126" applyFont="1" applyFill="1" applyBorder="1" applyAlignment="1" applyProtection="1">
      <alignment horizontal="center"/>
      <protection/>
    </xf>
    <xf numFmtId="0" fontId="29" fillId="0" borderId="57" xfId="126" applyFont="1" applyFill="1" applyBorder="1" applyAlignment="1" applyProtection="1">
      <alignment horizontal="center"/>
      <protection/>
    </xf>
    <xf numFmtId="0" fontId="29" fillId="41" borderId="35" xfId="126" applyFont="1" applyFill="1" applyBorder="1" applyAlignment="1" applyProtection="1">
      <alignment horizontal="center"/>
      <protection/>
    </xf>
    <xf numFmtId="0" fontId="29" fillId="41" borderId="57" xfId="126" applyFont="1" applyFill="1" applyBorder="1" applyAlignment="1" applyProtection="1">
      <alignment horizontal="center"/>
      <protection/>
    </xf>
    <xf numFmtId="0" fontId="29" fillId="0" borderId="35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164" fontId="6" fillId="0" borderId="102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47" fillId="0" borderId="19" xfId="0" applyFont="1" applyBorder="1" applyAlignment="1">
      <alignment horizontal="center"/>
    </xf>
    <xf numFmtId="0" fontId="47" fillId="0" borderId="19" xfId="114" applyFont="1" applyBorder="1" applyAlignment="1">
      <alignment horizontal="left" vertical="top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0" fontId="3" fillId="0" borderId="4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right"/>
    </xf>
    <xf numFmtId="0" fontId="6" fillId="0" borderId="10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88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 applyProtection="1">
      <alignment horizontal="left" vertical="center"/>
      <protection/>
    </xf>
    <xf numFmtId="0" fontId="12" fillId="0" borderId="52" xfId="0" applyFont="1" applyFill="1" applyBorder="1" applyAlignment="1" applyProtection="1">
      <alignment horizontal="left" vertical="center"/>
      <protection/>
    </xf>
    <xf numFmtId="0" fontId="6" fillId="0" borderId="101" xfId="0" applyFont="1" applyFill="1" applyBorder="1" applyAlignment="1" applyProtection="1">
      <alignment horizontal="left" vertical="center" wrapText="1"/>
      <protection/>
    </xf>
    <xf numFmtId="0" fontId="6" fillId="0" borderId="43" xfId="0" applyFont="1" applyFill="1" applyBorder="1" applyAlignment="1" applyProtection="1">
      <alignment horizontal="left" vertical="center" wrapText="1"/>
      <protection/>
    </xf>
    <xf numFmtId="0" fontId="6" fillId="0" borderId="88" xfId="0" applyFont="1" applyFill="1" applyBorder="1" applyAlignment="1" applyProtection="1">
      <alignment horizontal="left" vertical="center" wrapText="1"/>
      <protection/>
    </xf>
    <xf numFmtId="0" fontId="29" fillId="43" borderId="78" xfId="119" applyFont="1" applyFill="1" applyBorder="1" applyAlignment="1">
      <alignment horizontal="center"/>
      <protection/>
    </xf>
    <xf numFmtId="0" fontId="29" fillId="43" borderId="100" xfId="119" applyFont="1" applyFill="1" applyBorder="1" applyAlignment="1">
      <alignment horizontal="center"/>
      <protection/>
    </xf>
    <xf numFmtId="0" fontId="29" fillId="0" borderId="0" xfId="128" applyFont="1" applyFill="1" applyAlignment="1" applyProtection="1">
      <alignment horizontal="center" vertical="center" wrapText="1"/>
      <protection/>
    </xf>
    <xf numFmtId="0" fontId="31" fillId="0" borderId="102" xfId="128" applyFont="1" applyFill="1" applyBorder="1" applyAlignment="1" applyProtection="1">
      <alignment horizontal="center" vertical="center" wrapText="1"/>
      <protection/>
    </xf>
    <xf numFmtId="0" fontId="31" fillId="0" borderId="73" xfId="128" applyFont="1" applyFill="1" applyBorder="1" applyAlignment="1" applyProtection="1">
      <alignment horizontal="center" vertical="center" wrapText="1"/>
      <protection/>
    </xf>
    <xf numFmtId="0" fontId="31" fillId="0" borderId="44" xfId="128" applyFont="1" applyFill="1" applyBorder="1" applyAlignment="1" applyProtection="1">
      <alignment horizontal="center" vertical="center" wrapText="1"/>
      <protection/>
    </xf>
    <xf numFmtId="0" fontId="30" fillId="0" borderId="25" xfId="128" applyFont="1" applyFill="1" applyBorder="1" applyAlignment="1" applyProtection="1">
      <alignment horizontal="center" wrapText="1"/>
      <protection/>
    </xf>
    <xf numFmtId="0" fontId="30" fillId="0" borderId="24" xfId="128" applyFont="1" applyFill="1" applyBorder="1" applyAlignment="1" applyProtection="1">
      <alignment horizontal="center" wrapText="1"/>
      <protection/>
    </xf>
    <xf numFmtId="0" fontId="30" fillId="44" borderId="52" xfId="128" applyFont="1" applyFill="1" applyBorder="1" applyAlignment="1" applyProtection="1">
      <alignment horizontal="center" wrapText="1"/>
      <protection/>
    </xf>
    <xf numFmtId="0" fontId="30" fillId="44" borderId="24" xfId="128" applyFont="1" applyFill="1" applyBorder="1" applyAlignment="1" applyProtection="1">
      <alignment horizontal="center" wrapText="1"/>
      <protection/>
    </xf>
    <xf numFmtId="0" fontId="30" fillId="0" borderId="0" xfId="128" applyFont="1" applyFill="1" applyBorder="1" applyAlignment="1" applyProtection="1">
      <alignment horizontal="right"/>
      <protection/>
    </xf>
    <xf numFmtId="0" fontId="30" fillId="0" borderId="60" xfId="128" applyFont="1" applyFill="1" applyBorder="1" applyAlignment="1" applyProtection="1">
      <alignment horizontal="center" wrapText="1"/>
      <protection/>
    </xf>
    <xf numFmtId="0" fontId="30" fillId="0" borderId="76" xfId="128" applyFont="1" applyFill="1" applyBorder="1" applyAlignment="1" applyProtection="1">
      <alignment horizontal="center" wrapText="1"/>
      <protection/>
    </xf>
    <xf numFmtId="0" fontId="30" fillId="44" borderId="82" xfId="128" applyFont="1" applyFill="1" applyBorder="1" applyAlignment="1" applyProtection="1">
      <alignment horizontal="center" wrapText="1"/>
      <protection/>
    </xf>
    <xf numFmtId="0" fontId="30" fillId="44" borderId="76" xfId="128" applyFont="1" applyFill="1" applyBorder="1" applyAlignment="1" applyProtection="1">
      <alignment horizontal="center" wrapText="1"/>
      <protection/>
    </xf>
    <xf numFmtId="0" fontId="30" fillId="0" borderId="44" xfId="128" applyFont="1" applyFill="1" applyBorder="1" applyAlignment="1" applyProtection="1">
      <alignment horizontal="center" vertical="center" wrapText="1"/>
      <protection/>
    </xf>
    <xf numFmtId="0" fontId="30" fillId="0" borderId="22" xfId="128" applyFont="1" applyFill="1" applyBorder="1" applyAlignment="1" applyProtection="1">
      <alignment horizontal="center" vertical="center" wrapText="1"/>
      <protection/>
    </xf>
    <xf numFmtId="0" fontId="30" fillId="0" borderId="64" xfId="128" applyFont="1" applyFill="1" applyBorder="1" applyAlignment="1" applyProtection="1">
      <alignment horizontal="center" vertical="center" wrapText="1"/>
      <protection/>
    </xf>
    <xf numFmtId="0" fontId="30" fillId="0" borderId="65" xfId="128" applyFont="1" applyFill="1" applyBorder="1" applyAlignment="1" applyProtection="1">
      <alignment horizontal="center" vertical="center" wrapText="1"/>
      <protection/>
    </xf>
    <xf numFmtId="0" fontId="30" fillId="44" borderId="81" xfId="128" applyFont="1" applyFill="1" applyBorder="1" applyAlignment="1" applyProtection="1">
      <alignment horizontal="center" vertical="center" wrapText="1"/>
      <protection/>
    </xf>
    <xf numFmtId="0" fontId="30" fillId="44" borderId="54" xfId="128" applyFont="1" applyFill="1" applyBorder="1" applyAlignment="1" applyProtection="1">
      <alignment horizontal="center" vertical="center" wrapText="1"/>
      <protection/>
    </xf>
    <xf numFmtId="0" fontId="30" fillId="44" borderId="64" xfId="128" applyFont="1" applyFill="1" applyBorder="1" applyAlignment="1" applyProtection="1">
      <alignment horizontal="center" vertical="center" wrapText="1"/>
      <protection/>
    </xf>
    <xf numFmtId="0" fontId="30" fillId="44" borderId="65" xfId="128" applyFont="1" applyFill="1" applyBorder="1" applyAlignment="1" applyProtection="1">
      <alignment horizontal="center" vertical="center" wrapText="1"/>
      <protection/>
    </xf>
    <xf numFmtId="0" fontId="28" fillId="0" borderId="0" xfId="128" applyFont="1" applyFill="1" applyAlignment="1" applyProtection="1">
      <alignment horizontal="left"/>
      <protection/>
    </xf>
    <xf numFmtId="0" fontId="20" fillId="0" borderId="61" xfId="127" applyFont="1" applyFill="1" applyBorder="1" applyAlignment="1" applyProtection="1">
      <alignment horizontal="center" vertical="center" textRotation="90"/>
      <protection/>
    </xf>
    <xf numFmtId="0" fontId="20" fillId="0" borderId="96" xfId="127" applyFont="1" applyFill="1" applyBorder="1" applyAlignment="1" applyProtection="1">
      <alignment horizontal="center" vertical="center" textRotation="90"/>
      <protection/>
    </xf>
    <xf numFmtId="0" fontId="54" fillId="0" borderId="96" xfId="127" applyFont="1" applyFill="1" applyBorder="1" applyAlignment="1" applyProtection="1">
      <alignment horizontal="center" vertical="center" wrapText="1"/>
      <protection/>
    </xf>
    <xf numFmtId="0" fontId="54" fillId="0" borderId="30" xfId="127" applyFont="1" applyFill="1" applyBorder="1" applyAlignment="1" applyProtection="1">
      <alignment horizontal="center" vertical="center"/>
      <protection/>
    </xf>
    <xf numFmtId="0" fontId="5" fillId="0" borderId="102" xfId="127" applyFont="1" applyFill="1" applyBorder="1" applyAlignment="1" applyProtection="1">
      <alignment horizontal="center" vertical="center" wrapText="1"/>
      <protection/>
    </xf>
    <xf numFmtId="0" fontId="5" fillId="0" borderId="73" xfId="127" applyFont="1" applyFill="1" applyBorder="1" applyAlignment="1" applyProtection="1">
      <alignment horizontal="center" vertical="center" wrapText="1"/>
      <protection/>
    </xf>
    <xf numFmtId="0" fontId="5" fillId="0" borderId="44" xfId="127" applyFont="1" applyFill="1" applyBorder="1" applyAlignment="1" applyProtection="1">
      <alignment horizontal="center" vertical="center" wrapText="1"/>
      <protection/>
    </xf>
    <xf numFmtId="0" fontId="54" fillId="0" borderId="66" xfId="127" applyFont="1" applyFill="1" applyBorder="1" applyAlignment="1" applyProtection="1">
      <alignment horizontal="center" vertical="center" textRotation="90"/>
      <protection/>
    </xf>
    <xf numFmtId="0" fontId="54" fillId="0" borderId="27" xfId="127" applyFont="1" applyFill="1" applyBorder="1" applyAlignment="1" applyProtection="1">
      <alignment horizontal="center" vertical="center" textRotation="90"/>
      <protection/>
    </xf>
    <xf numFmtId="0" fontId="54" fillId="0" borderId="48" xfId="127" applyFont="1" applyFill="1" applyBorder="1" applyAlignment="1" applyProtection="1">
      <alignment horizontal="center" vertical="center" textRotation="90"/>
      <protection/>
    </xf>
    <xf numFmtId="0" fontId="54" fillId="0" borderId="64" xfId="127" applyFont="1" applyFill="1" applyBorder="1" applyAlignment="1" applyProtection="1">
      <alignment horizontal="center" vertical="center" wrapText="1"/>
      <protection/>
    </xf>
    <xf numFmtId="0" fontId="54" fillId="0" borderId="26" xfId="127" applyFont="1" applyFill="1" applyBorder="1" applyAlignment="1" applyProtection="1">
      <alignment horizontal="center" vertical="center"/>
      <protection/>
    </xf>
    <xf numFmtId="0" fontId="54" fillId="44" borderId="45" xfId="127" applyFont="1" applyFill="1" applyBorder="1" applyAlignment="1" applyProtection="1">
      <alignment horizontal="center" vertical="center" wrapText="1"/>
      <protection/>
    </xf>
    <xf numFmtId="0" fontId="54" fillId="44" borderId="39" xfId="127" applyFont="1" applyFill="1" applyBorder="1" applyAlignment="1" applyProtection="1">
      <alignment horizontal="center" vertical="center"/>
      <protection/>
    </xf>
    <xf numFmtId="0" fontId="28" fillId="0" borderId="0" xfId="128" applyFont="1" applyFill="1" applyAlignment="1" applyProtection="1">
      <alignment horizontal="center"/>
      <protection/>
    </xf>
    <xf numFmtId="0" fontId="20" fillId="0" borderId="0" xfId="127" applyFont="1" applyFill="1" applyBorder="1" applyAlignment="1" applyProtection="1">
      <alignment horizontal="right" vertical="center"/>
      <protection/>
    </xf>
    <xf numFmtId="0" fontId="5" fillId="0" borderId="0" xfId="127" applyFont="1" applyFill="1" applyAlignment="1" applyProtection="1">
      <alignment horizontal="center" vertical="center" wrapText="1"/>
      <protection/>
    </xf>
    <xf numFmtId="0" fontId="3" fillId="0" borderId="0" xfId="127" applyFont="1" applyFill="1" applyAlignment="1" applyProtection="1">
      <alignment horizontal="center" vertical="center" wrapText="1"/>
      <protection/>
    </xf>
    <xf numFmtId="0" fontId="15" fillId="0" borderId="42" xfId="128" applyFont="1" applyFill="1" applyBorder="1" applyAlignment="1">
      <alignment horizontal="left"/>
      <protection/>
    </xf>
    <xf numFmtId="0" fontId="15" fillId="0" borderId="86" xfId="128" applyFont="1" applyFill="1" applyBorder="1" applyAlignment="1">
      <alignment horizontal="left"/>
      <protection/>
    </xf>
    <xf numFmtId="0" fontId="15" fillId="0" borderId="101" xfId="128" applyFont="1" applyFill="1" applyBorder="1" applyAlignment="1">
      <alignment horizontal="center" vertical="center"/>
      <protection/>
    </xf>
    <xf numFmtId="0" fontId="15" fillId="0" borderId="33" xfId="128" applyFont="1" applyFill="1" applyBorder="1" applyAlignment="1">
      <alignment horizontal="center" vertical="center"/>
      <protection/>
    </xf>
    <xf numFmtId="0" fontId="20" fillId="0" borderId="36" xfId="127" applyFont="1" applyFill="1" applyBorder="1" applyAlignment="1" applyProtection="1">
      <alignment horizontal="center" vertical="center" textRotation="90"/>
      <protection/>
    </xf>
    <xf numFmtId="0" fontId="20" fillId="0" borderId="34" xfId="127" applyFont="1" applyFill="1" applyBorder="1" applyAlignment="1" applyProtection="1">
      <alignment horizontal="center" vertical="center" textRotation="90"/>
      <protection/>
    </xf>
    <xf numFmtId="0" fontId="29" fillId="0" borderId="0" xfId="128" applyFont="1" applyFill="1" applyAlignment="1">
      <alignment horizontal="center" vertical="center" wrapText="1"/>
      <protection/>
    </xf>
    <xf numFmtId="0" fontId="29" fillId="0" borderId="0" xfId="128" applyFont="1" applyFill="1" applyAlignment="1">
      <alignment horizontal="center" wrapText="1"/>
      <protection/>
    </xf>
    <xf numFmtId="0" fontId="46" fillId="0" borderId="20" xfId="0" applyFont="1" applyBorder="1" applyAlignment="1">
      <alignment horizontal="center" wrapText="1"/>
    </xf>
    <xf numFmtId="0" fontId="0" fillId="0" borderId="48" xfId="0" applyBorder="1" applyAlignment="1">
      <alignment/>
    </xf>
    <xf numFmtId="0" fontId="43" fillId="0" borderId="0" xfId="0" applyFont="1" applyAlignment="1">
      <alignment horizontal="center"/>
    </xf>
    <xf numFmtId="0" fontId="46" fillId="0" borderId="20" xfId="0" applyFont="1" applyBorder="1" applyAlignment="1">
      <alignment/>
    </xf>
    <xf numFmtId="0" fontId="46" fillId="0" borderId="48" xfId="0" applyFont="1" applyBorder="1" applyAlignment="1">
      <alignment/>
    </xf>
    <xf numFmtId="0" fontId="4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7" fillId="0" borderId="0" xfId="0" applyFont="1" applyAlignment="1" applyProtection="1">
      <alignment horizontal="center" vertical="center" wrapText="1"/>
      <protection locked="0"/>
    </xf>
    <xf numFmtId="0" fontId="35" fillId="0" borderId="25" xfId="0" applyFont="1" applyBorder="1" applyAlignment="1" applyProtection="1">
      <alignment wrapText="1"/>
      <protection/>
    </xf>
    <xf numFmtId="0" fontId="35" fillId="0" borderId="23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53" fillId="41" borderId="60" xfId="0" applyFont="1" applyFill="1" applyBorder="1" applyAlignment="1">
      <alignment horizontal="center" vertical="center"/>
    </xf>
    <xf numFmtId="0" fontId="53" fillId="41" borderId="77" xfId="0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/>
    </xf>
    <xf numFmtId="0" fontId="53" fillId="0" borderId="50" xfId="0" applyFont="1" applyFill="1" applyBorder="1" applyAlignment="1">
      <alignment horizontal="center" vertical="center"/>
    </xf>
    <xf numFmtId="0" fontId="53" fillId="0" borderId="77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53" fillId="0" borderId="60" xfId="111" applyFont="1" applyBorder="1" applyAlignment="1">
      <alignment horizontal="center" vertical="center"/>
      <protection/>
    </xf>
    <xf numFmtId="0" fontId="53" fillId="0" borderId="50" xfId="111" applyFont="1" applyBorder="1" applyAlignment="1">
      <alignment horizontal="center" vertical="center"/>
      <protection/>
    </xf>
    <xf numFmtId="0" fontId="53" fillId="0" borderId="77" xfId="111" applyFont="1" applyBorder="1" applyAlignment="1">
      <alignment horizontal="center" vertical="center"/>
      <protection/>
    </xf>
  </cellXfs>
  <cellStyles count="13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cel Built-in Normal" xfId="73"/>
    <cellStyle name="Explanatory Text" xfId="74"/>
    <cellStyle name="Comma" xfId="75"/>
    <cellStyle name="Comma [0]" xfId="76"/>
    <cellStyle name="Ezres 2" xfId="77"/>
    <cellStyle name="Ezres 2 2" xfId="78"/>
    <cellStyle name="Ezres 2 3" xfId="79"/>
    <cellStyle name="Ezres 2 4" xfId="80"/>
    <cellStyle name="Ezres 3" xfId="81"/>
    <cellStyle name="Ezres 3 2" xfId="82"/>
    <cellStyle name="Ezres 3 3" xfId="83"/>
    <cellStyle name="Ezres 4" xfId="84"/>
    <cellStyle name="Ezres 4 2" xfId="85"/>
    <cellStyle name="Ezres 5" xfId="86"/>
    <cellStyle name="Ezres 5 2" xfId="87"/>
    <cellStyle name="Ezres 6" xfId="88"/>
    <cellStyle name="Ezres 7" xfId="89"/>
    <cellStyle name="Figyelmeztetés" xfId="90"/>
    <cellStyle name="Good" xfId="91"/>
    <cellStyle name="Heading 1" xfId="92"/>
    <cellStyle name="Heading 2" xfId="93"/>
    <cellStyle name="Heading 3" xfId="94"/>
    <cellStyle name="Heading 4" xfId="95"/>
    <cellStyle name="Hiperhivatkozás" xfId="96"/>
    <cellStyle name="Hyperlink" xfId="97"/>
    <cellStyle name="Hivatkozott cella" xfId="98"/>
    <cellStyle name="Input" xfId="99"/>
    <cellStyle name="Jegyzet" xfId="100"/>
    <cellStyle name="Jó" xfId="101"/>
    <cellStyle name="Kimenet" xfId="102"/>
    <cellStyle name="Followed Hyperlink" xfId="103"/>
    <cellStyle name="Linked Cell" xfId="104"/>
    <cellStyle name="Magyarázó szöveg" xfId="105"/>
    <cellStyle name="Már látott hiperhivatkozás" xfId="106"/>
    <cellStyle name="Neutral" xfId="107"/>
    <cellStyle name="Normál 2" xfId="108"/>
    <cellStyle name="Normál 2 2" xfId="109"/>
    <cellStyle name="Normál 2 3" xfId="110"/>
    <cellStyle name="Normál 3" xfId="111"/>
    <cellStyle name="Normál 3 2" xfId="112"/>
    <cellStyle name="Normál 3 3" xfId="113"/>
    <cellStyle name="Normál 4" xfId="114"/>
    <cellStyle name="Normál 4 2" xfId="115"/>
    <cellStyle name="Normál 4 3" xfId="116"/>
    <cellStyle name="Normál 4 4" xfId="117"/>
    <cellStyle name="Normál 5" xfId="118"/>
    <cellStyle name="Normál 5 2" xfId="119"/>
    <cellStyle name="Normál 6" xfId="120"/>
    <cellStyle name="Normál 7" xfId="121"/>
    <cellStyle name="Normál 7 2" xfId="122"/>
    <cellStyle name="Normál 8" xfId="123"/>
    <cellStyle name="Normál_12. mell-közvetett tám" xfId="124"/>
    <cellStyle name="Normal_KARSZJ3" xfId="125"/>
    <cellStyle name="Normál_KVRENMUNKA" xfId="126"/>
    <cellStyle name="Normál_VAGYONK" xfId="127"/>
    <cellStyle name="Normál_VAGYONKIM" xfId="128"/>
    <cellStyle name="Note" xfId="129"/>
    <cellStyle name="Output" xfId="130"/>
    <cellStyle name="Összesen" xfId="131"/>
    <cellStyle name="Currency" xfId="132"/>
    <cellStyle name="Currency [0]" xfId="133"/>
    <cellStyle name="Pénznem 2" xfId="134"/>
    <cellStyle name="Pénznem 3" xfId="135"/>
    <cellStyle name="Pénznem 4" xfId="136"/>
    <cellStyle name="Rossz" xfId="137"/>
    <cellStyle name="Semleges" xfId="138"/>
    <cellStyle name="Számítás" xfId="139"/>
    <cellStyle name="Percent" xfId="140"/>
    <cellStyle name="Százalék 2" xfId="141"/>
    <cellStyle name="Százalék 3" xfId="142"/>
    <cellStyle name="Title" xfId="143"/>
    <cellStyle name="Total" xfId="144"/>
    <cellStyle name="Warning Text" xfId="14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ika\Z&#225;rsz&#225;mad&#225;s%202017\mint&#225;k\M&#225;solat%20eredetije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A10" sqref="A10"/>
    </sheetView>
  </sheetViews>
  <sheetFormatPr defaultColWidth="9.375" defaultRowHeight="12.75"/>
  <cols>
    <col min="1" max="1" width="46.375" style="181" customWidth="1"/>
    <col min="2" max="2" width="66.125" style="181" customWidth="1"/>
    <col min="3" max="16384" width="9.375" style="181" customWidth="1"/>
  </cols>
  <sheetData>
    <row r="1" ht="17.25">
      <c r="A1" s="320" t="s">
        <v>104</v>
      </c>
    </row>
    <row r="3" spans="1:2" ht="12.75">
      <c r="A3" s="321"/>
      <c r="B3" s="321"/>
    </row>
    <row r="4" spans="1:2" ht="15">
      <c r="A4" s="296" t="s">
        <v>675</v>
      </c>
      <c r="B4" s="322"/>
    </row>
    <row r="5" spans="1:2" s="323" customFormat="1" ht="12.75">
      <c r="A5" s="321"/>
      <c r="B5" s="321"/>
    </row>
    <row r="6" spans="1:2" ht="12.75">
      <c r="A6" s="321" t="s">
        <v>466</v>
      </c>
      <c r="B6" s="321" t="s">
        <v>467</v>
      </c>
    </row>
    <row r="7" spans="1:2" ht="12.75">
      <c r="A7" s="321" t="s">
        <v>468</v>
      </c>
      <c r="B7" s="321" t="s">
        <v>469</v>
      </c>
    </row>
    <row r="8" spans="1:2" ht="12.75">
      <c r="A8" s="321" t="s">
        <v>470</v>
      </c>
      <c r="B8" s="321" t="s">
        <v>471</v>
      </c>
    </row>
    <row r="9" spans="1:2" ht="12.75">
      <c r="A9" s="321"/>
      <c r="B9" s="321"/>
    </row>
    <row r="10" spans="1:2" ht="15">
      <c r="A10" s="296" t="str">
        <f>+CONCATENATE(LEFT(A4,4),". évi módosított előirányzat BEVÉTELEK")</f>
        <v>2017. évi módosított előirányzat BEVÉTELEK</v>
      </c>
      <c r="B10" s="322"/>
    </row>
    <row r="11" spans="1:2" ht="12.75">
      <c r="A11" s="321"/>
      <c r="B11" s="321"/>
    </row>
    <row r="12" spans="1:2" s="323" customFormat="1" ht="12.75">
      <c r="A12" s="321" t="s">
        <v>472</v>
      </c>
      <c r="B12" s="321" t="s">
        <v>478</v>
      </c>
    </row>
    <row r="13" spans="1:2" ht="12.75">
      <c r="A13" s="321" t="s">
        <v>473</v>
      </c>
      <c r="B13" s="321" t="s">
        <v>479</v>
      </c>
    </row>
    <row r="14" spans="1:2" ht="12.75">
      <c r="A14" s="321" t="s">
        <v>474</v>
      </c>
      <c r="B14" s="321" t="s">
        <v>480</v>
      </c>
    </row>
    <row r="15" spans="1:2" ht="12.75">
      <c r="A15" s="321"/>
      <c r="B15" s="321"/>
    </row>
    <row r="16" spans="1:2" ht="13.5">
      <c r="A16" s="324" t="str">
        <f>+CONCATENATE(LEFT(A4,4),". évi teljesítés BEVÉTELEK")</f>
        <v>2017. évi teljesítés BEVÉTELEK</v>
      </c>
      <c r="B16" s="322"/>
    </row>
    <row r="17" spans="1:2" ht="12.75">
      <c r="A17" s="321"/>
      <c r="B17" s="321"/>
    </row>
    <row r="18" spans="1:2" ht="12.75">
      <c r="A18" s="321" t="s">
        <v>475</v>
      </c>
      <c r="B18" s="321" t="s">
        <v>481</v>
      </c>
    </row>
    <row r="19" spans="1:2" ht="12.75">
      <c r="A19" s="321" t="s">
        <v>476</v>
      </c>
      <c r="B19" s="321" t="s">
        <v>482</v>
      </c>
    </row>
    <row r="20" spans="1:2" ht="12.75">
      <c r="A20" s="321" t="s">
        <v>477</v>
      </c>
      <c r="B20" s="321" t="s">
        <v>483</v>
      </c>
    </row>
    <row r="21" spans="1:2" ht="12.75">
      <c r="A21" s="321"/>
      <c r="B21" s="321"/>
    </row>
    <row r="22" spans="1:2" ht="15">
      <c r="A22" s="296" t="str">
        <f>+CONCATENATE(LEFT(A4,4),". évi eredeti előirányzat KIADÁSOK")</f>
        <v>2017. évi eredeti előirányzat KIADÁSOK</v>
      </c>
      <c r="B22" s="322"/>
    </row>
    <row r="23" spans="1:2" ht="12.75">
      <c r="A23" s="321"/>
      <c r="B23" s="321"/>
    </row>
    <row r="24" spans="1:2" ht="12.75">
      <c r="A24" s="321" t="s">
        <v>484</v>
      </c>
      <c r="B24" s="321" t="s">
        <v>490</v>
      </c>
    </row>
    <row r="25" spans="1:2" ht="12.75">
      <c r="A25" s="321" t="s">
        <v>463</v>
      </c>
      <c r="B25" s="321" t="s">
        <v>491</v>
      </c>
    </row>
    <row r="26" spans="1:2" ht="12.75">
      <c r="A26" s="321" t="s">
        <v>485</v>
      </c>
      <c r="B26" s="321" t="s">
        <v>492</v>
      </c>
    </row>
    <row r="27" spans="1:2" ht="12.75">
      <c r="A27" s="321"/>
      <c r="B27" s="321"/>
    </row>
    <row r="28" spans="1:2" ht="15">
      <c r="A28" s="296" t="str">
        <f>+CONCATENATE(LEFT(A4,4),". évi módosított előirányzat KIADÁSOK")</f>
        <v>2017. évi módosított előirányzat KIADÁSOK</v>
      </c>
      <c r="B28" s="322"/>
    </row>
    <row r="29" spans="1:2" ht="12.75">
      <c r="A29" s="321"/>
      <c r="B29" s="321"/>
    </row>
    <row r="30" spans="1:2" ht="12.75">
      <c r="A30" s="321" t="s">
        <v>486</v>
      </c>
      <c r="B30" s="321" t="s">
        <v>497</v>
      </c>
    </row>
    <row r="31" spans="1:2" ht="12.75">
      <c r="A31" s="321" t="s">
        <v>464</v>
      </c>
      <c r="B31" s="321" t="s">
        <v>494</v>
      </c>
    </row>
    <row r="32" spans="1:2" ht="12.75">
      <c r="A32" s="321" t="s">
        <v>487</v>
      </c>
      <c r="B32" s="321" t="s">
        <v>493</v>
      </c>
    </row>
    <row r="33" spans="1:2" ht="12.75">
      <c r="A33" s="321"/>
      <c r="B33" s="321"/>
    </row>
    <row r="34" spans="1:2" ht="15">
      <c r="A34" s="325" t="str">
        <f>+CONCATENATE(LEFT(A4,4),". évi teljesítés KIADÁSOK")</f>
        <v>2017. évi teljesítés KIADÁSOK</v>
      </c>
      <c r="B34" s="322"/>
    </row>
    <row r="35" spans="1:2" ht="12.75">
      <c r="A35" s="321"/>
      <c r="B35" s="321"/>
    </row>
    <row r="36" spans="1:2" ht="12.75">
      <c r="A36" s="321" t="s">
        <v>488</v>
      </c>
      <c r="B36" s="321" t="s">
        <v>498</v>
      </c>
    </row>
    <row r="37" spans="1:2" ht="12.75">
      <c r="A37" s="321" t="s">
        <v>465</v>
      </c>
      <c r="B37" s="321" t="s">
        <v>496</v>
      </c>
    </row>
    <row r="38" spans="1:2" ht="12.75">
      <c r="A38" s="321" t="s">
        <v>489</v>
      </c>
      <c r="B38" s="321" t="s">
        <v>495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58"/>
  <sheetViews>
    <sheetView view="pageBreakPreview" zoomScale="115" zoomScaleSheetLayoutView="115" workbookViewId="0" topLeftCell="A19">
      <selection activeCell="A1" sqref="A1:H1"/>
    </sheetView>
  </sheetViews>
  <sheetFormatPr defaultColWidth="9.375" defaultRowHeight="12.75"/>
  <cols>
    <col min="1" max="1" width="16.00390625" style="392" customWidth="1"/>
    <col min="2" max="2" width="59.375" style="31" customWidth="1"/>
    <col min="3" max="5" width="15.75390625" style="31" customWidth="1"/>
    <col min="6" max="6" width="13.125" style="31" customWidth="1"/>
    <col min="7" max="7" width="12.50390625" style="31" customWidth="1"/>
    <col min="8" max="8" width="12.125" style="31" customWidth="1"/>
    <col min="9" max="16384" width="9.375" style="31" customWidth="1"/>
  </cols>
  <sheetData>
    <row r="1" spans="1:8" s="334" customFormat="1" ht="21" customHeight="1" thickBot="1">
      <c r="A1" s="856" t="str">
        <f>+CONCATENATE("7. melléklet a 4/",LEFT(ÖSSZEFÜGGÉSEK!A4,4)+1,". (V.30.) önkormányzati rendelethez")</f>
        <v>7. melléklet a 4/2018. (V.30.) önkormányzati rendelethez</v>
      </c>
      <c r="B1" s="856"/>
      <c r="C1" s="856"/>
      <c r="D1" s="856"/>
      <c r="E1" s="856"/>
      <c r="F1" s="856"/>
      <c r="G1" s="856"/>
      <c r="H1" s="856"/>
    </row>
    <row r="2" spans="1:8" s="374" customFormat="1" ht="22.5">
      <c r="A2" s="357" t="s">
        <v>141</v>
      </c>
      <c r="B2" s="857" t="s">
        <v>676</v>
      </c>
      <c r="C2" s="858"/>
      <c r="D2" s="858"/>
      <c r="E2" s="858"/>
      <c r="F2" s="858"/>
      <c r="G2" s="858"/>
      <c r="H2" s="859"/>
    </row>
    <row r="3" spans="1:8" s="374" customFormat="1" ht="23.25" thickBot="1">
      <c r="A3" s="373" t="s">
        <v>509</v>
      </c>
      <c r="B3" s="860" t="s">
        <v>504</v>
      </c>
      <c r="C3" s="861"/>
      <c r="D3" s="861"/>
      <c r="E3" s="861"/>
      <c r="F3" s="861"/>
      <c r="G3" s="861"/>
      <c r="H3" s="862"/>
    </row>
    <row r="4" spans="1:8" s="375" customFormat="1" ht="15.75" customHeight="1" thickBot="1">
      <c r="A4" s="335"/>
      <c r="B4" s="335"/>
      <c r="C4" s="336"/>
      <c r="D4" s="336"/>
      <c r="E4" s="336"/>
      <c r="F4" s="336"/>
      <c r="G4" s="336"/>
      <c r="H4" s="336" t="s">
        <v>681</v>
      </c>
    </row>
    <row r="5" spans="1:8" ht="23.25" thickBot="1">
      <c r="A5" s="206" t="s">
        <v>142</v>
      </c>
      <c r="B5" s="207" t="s">
        <v>40</v>
      </c>
      <c r="C5" s="93" t="s">
        <v>172</v>
      </c>
      <c r="D5" s="93" t="s">
        <v>176</v>
      </c>
      <c r="E5" s="337" t="s">
        <v>971</v>
      </c>
      <c r="F5" s="337" t="s">
        <v>972</v>
      </c>
      <c r="G5" s="337" t="s">
        <v>973</v>
      </c>
      <c r="H5" s="337" t="s">
        <v>974</v>
      </c>
    </row>
    <row r="6" spans="1:8" s="376" customFormat="1" ht="12.75" customHeight="1" thickBot="1">
      <c r="A6" s="332" t="s">
        <v>373</v>
      </c>
      <c r="B6" s="333" t="s">
        <v>374</v>
      </c>
      <c r="C6" s="333" t="s">
        <v>375</v>
      </c>
      <c r="D6" s="105" t="s">
        <v>376</v>
      </c>
      <c r="E6" s="103" t="s">
        <v>377</v>
      </c>
      <c r="F6" s="103" t="s">
        <v>453</v>
      </c>
      <c r="G6" s="103" t="s">
        <v>454</v>
      </c>
      <c r="H6" s="103" t="s">
        <v>455</v>
      </c>
    </row>
    <row r="7" spans="1:8" s="376" customFormat="1" ht="15.75" customHeight="1" thickBot="1">
      <c r="A7" s="853" t="s">
        <v>41</v>
      </c>
      <c r="B7" s="854"/>
      <c r="C7" s="854"/>
      <c r="D7" s="854"/>
      <c r="E7" s="854"/>
      <c r="F7" s="854"/>
      <c r="G7" s="854"/>
      <c r="H7" s="854"/>
    </row>
    <row r="8" spans="1:8" s="353" customFormat="1" ht="12" customHeight="1" thickBot="1">
      <c r="A8" s="332" t="s">
        <v>6</v>
      </c>
      <c r="B8" s="388" t="s">
        <v>510</v>
      </c>
      <c r="C8" s="265">
        <f aca="true" t="shared" si="0" ref="C8:H8">SUM(C9:C18)</f>
        <v>2804000</v>
      </c>
      <c r="D8" s="265">
        <f t="shared" si="0"/>
        <v>2804000</v>
      </c>
      <c r="E8" s="394">
        <f t="shared" si="0"/>
        <v>2951907</v>
      </c>
      <c r="F8" s="394">
        <f t="shared" si="0"/>
        <v>2951907</v>
      </c>
      <c r="G8" s="394">
        <f t="shared" si="0"/>
        <v>0</v>
      </c>
      <c r="H8" s="394">
        <f t="shared" si="0"/>
        <v>0</v>
      </c>
    </row>
    <row r="9" spans="1:8" s="353" customFormat="1" ht="12" customHeight="1">
      <c r="A9" s="397" t="s">
        <v>66</v>
      </c>
      <c r="B9" s="211" t="s">
        <v>292</v>
      </c>
      <c r="C9" s="99"/>
      <c r="D9" s="99"/>
      <c r="E9" s="383"/>
      <c r="F9" s="383"/>
      <c r="G9" s="383"/>
      <c r="H9" s="383"/>
    </row>
    <row r="10" spans="1:8" s="353" customFormat="1" ht="12" customHeight="1">
      <c r="A10" s="398" t="s">
        <v>67</v>
      </c>
      <c r="B10" s="209" t="s">
        <v>293</v>
      </c>
      <c r="C10" s="262">
        <v>500000</v>
      </c>
      <c r="D10" s="262">
        <v>500000</v>
      </c>
      <c r="E10" s="108">
        <v>600000</v>
      </c>
      <c r="F10" s="108">
        <v>600000</v>
      </c>
      <c r="G10" s="108"/>
      <c r="H10" s="108"/>
    </row>
    <row r="11" spans="1:8" s="353" customFormat="1" ht="12" customHeight="1">
      <c r="A11" s="398" t="s">
        <v>68</v>
      </c>
      <c r="B11" s="209" t="s">
        <v>294</v>
      </c>
      <c r="C11" s="262">
        <v>1700000</v>
      </c>
      <c r="D11" s="262">
        <v>1700000</v>
      </c>
      <c r="E11" s="108">
        <v>988404</v>
      </c>
      <c r="F11" s="108">
        <v>988404</v>
      </c>
      <c r="G11" s="108"/>
      <c r="H11" s="108"/>
    </row>
    <row r="12" spans="1:8" s="353" customFormat="1" ht="12" customHeight="1">
      <c r="A12" s="398" t="s">
        <v>69</v>
      </c>
      <c r="B12" s="209" t="s">
        <v>295</v>
      </c>
      <c r="C12" s="262"/>
      <c r="D12" s="262"/>
      <c r="E12" s="108"/>
      <c r="F12" s="108"/>
      <c r="G12" s="108"/>
      <c r="H12" s="108"/>
    </row>
    <row r="13" spans="1:8" s="353" customFormat="1" ht="12" customHeight="1">
      <c r="A13" s="398" t="s">
        <v>101</v>
      </c>
      <c r="B13" s="209" t="s">
        <v>296</v>
      </c>
      <c r="C13" s="262"/>
      <c r="D13" s="262"/>
      <c r="E13" s="108"/>
      <c r="F13" s="108"/>
      <c r="G13" s="108"/>
      <c r="H13" s="108"/>
    </row>
    <row r="14" spans="1:8" s="353" customFormat="1" ht="12" customHeight="1">
      <c r="A14" s="398" t="s">
        <v>70</v>
      </c>
      <c r="B14" s="209" t="s">
        <v>511</v>
      </c>
      <c r="C14" s="262">
        <v>594000</v>
      </c>
      <c r="D14" s="262">
        <v>594000</v>
      </c>
      <c r="E14" s="108">
        <v>583102</v>
      </c>
      <c r="F14" s="108">
        <v>583102</v>
      </c>
      <c r="G14" s="108"/>
      <c r="H14" s="108"/>
    </row>
    <row r="15" spans="1:8" s="377" customFormat="1" ht="12" customHeight="1">
      <c r="A15" s="398" t="s">
        <v>71</v>
      </c>
      <c r="B15" s="208" t="s">
        <v>512</v>
      </c>
      <c r="C15" s="262"/>
      <c r="D15" s="262"/>
      <c r="E15" s="108"/>
      <c r="F15" s="108"/>
      <c r="G15" s="108"/>
      <c r="H15" s="108"/>
    </row>
    <row r="16" spans="1:8" s="377" customFormat="1" ht="12" customHeight="1">
      <c r="A16" s="398" t="s">
        <v>79</v>
      </c>
      <c r="B16" s="209" t="s">
        <v>299</v>
      </c>
      <c r="C16" s="100">
        <v>5000</v>
      </c>
      <c r="D16" s="100">
        <v>5000</v>
      </c>
      <c r="E16" s="382">
        <v>88</v>
      </c>
      <c r="F16" s="382">
        <v>88</v>
      </c>
      <c r="G16" s="382"/>
      <c r="H16" s="382"/>
    </row>
    <row r="17" spans="1:8" s="353" customFormat="1" ht="12" customHeight="1">
      <c r="A17" s="398" t="s">
        <v>80</v>
      </c>
      <c r="B17" s="209" t="s">
        <v>301</v>
      </c>
      <c r="C17" s="262"/>
      <c r="D17" s="262"/>
      <c r="E17" s="108"/>
      <c r="F17" s="108"/>
      <c r="G17" s="108"/>
      <c r="H17" s="108"/>
    </row>
    <row r="18" spans="1:8" s="377" customFormat="1" ht="12" customHeight="1" thickBot="1">
      <c r="A18" s="398" t="s">
        <v>81</v>
      </c>
      <c r="B18" s="208" t="s">
        <v>303</v>
      </c>
      <c r="C18" s="264">
        <v>5000</v>
      </c>
      <c r="D18" s="264">
        <v>5000</v>
      </c>
      <c r="E18" s="378">
        <v>780313</v>
      </c>
      <c r="F18" s="378">
        <v>780313</v>
      </c>
      <c r="G18" s="378"/>
      <c r="H18" s="378"/>
    </row>
    <row r="19" spans="1:8" s="377" customFormat="1" ht="14.25" thickBot="1">
      <c r="A19" s="332" t="s">
        <v>7</v>
      </c>
      <c r="B19" s="388" t="s">
        <v>513</v>
      </c>
      <c r="C19" s="265">
        <f aca="true" t="shared" si="1" ref="C19:H19">SUM(C20:C22)</f>
        <v>6526000</v>
      </c>
      <c r="D19" s="265">
        <f t="shared" si="1"/>
        <v>6526000</v>
      </c>
      <c r="E19" s="394">
        <f t="shared" si="1"/>
        <v>2500000</v>
      </c>
      <c r="F19" s="394">
        <f t="shared" si="1"/>
        <v>2500001</v>
      </c>
      <c r="G19" s="394">
        <f t="shared" si="1"/>
        <v>0</v>
      </c>
      <c r="H19" s="394">
        <f t="shared" si="1"/>
        <v>0</v>
      </c>
    </row>
    <row r="20" spans="1:8" s="377" customFormat="1" ht="12" customHeight="1">
      <c r="A20" s="398" t="s">
        <v>72</v>
      </c>
      <c r="B20" s="210" t="s">
        <v>271</v>
      </c>
      <c r="C20" s="262"/>
      <c r="D20" s="262"/>
      <c r="E20" s="108"/>
      <c r="F20" s="108"/>
      <c r="G20" s="108"/>
      <c r="H20" s="108"/>
    </row>
    <row r="21" spans="1:8" s="377" customFormat="1" ht="12" customHeight="1">
      <c r="A21" s="398" t="s">
        <v>73</v>
      </c>
      <c r="B21" s="209" t="s">
        <v>514</v>
      </c>
      <c r="D21" s="262"/>
      <c r="E21" s="108"/>
      <c r="F21" s="108"/>
      <c r="G21" s="108"/>
      <c r="H21" s="108"/>
    </row>
    <row r="22" spans="1:8" s="377" customFormat="1" ht="12" customHeight="1">
      <c r="A22" s="398" t="s">
        <v>74</v>
      </c>
      <c r="B22" s="209" t="s">
        <v>515</v>
      </c>
      <c r="C22" s="262">
        <v>6526000</v>
      </c>
      <c r="D22" s="262">
        <v>6526000</v>
      </c>
      <c r="E22" s="108">
        <v>2500000</v>
      </c>
      <c r="F22" s="108">
        <v>2500001</v>
      </c>
      <c r="G22" s="108"/>
      <c r="H22" s="108"/>
    </row>
    <row r="23" spans="1:8" s="377" customFormat="1" ht="12" customHeight="1" thickBot="1">
      <c r="A23" s="398" t="s">
        <v>75</v>
      </c>
      <c r="B23" s="209" t="s">
        <v>617</v>
      </c>
      <c r="C23" s="262"/>
      <c r="D23" s="262"/>
      <c r="E23" s="108"/>
      <c r="F23" s="108"/>
      <c r="G23" s="108"/>
      <c r="H23" s="108"/>
    </row>
    <row r="24" spans="1:8" s="377" customFormat="1" ht="12" customHeight="1" thickBot="1">
      <c r="A24" s="387" t="s">
        <v>8</v>
      </c>
      <c r="B24" s="218" t="s">
        <v>118</v>
      </c>
      <c r="C24" s="40"/>
      <c r="D24" s="40"/>
      <c r="E24" s="393"/>
      <c r="F24" s="393"/>
      <c r="G24" s="393"/>
      <c r="H24" s="393"/>
    </row>
    <row r="25" spans="1:8" s="377" customFormat="1" ht="14.25" thickBot="1">
      <c r="A25" s="387" t="s">
        <v>9</v>
      </c>
      <c r="B25" s="218" t="s">
        <v>516</v>
      </c>
      <c r="C25" s="265">
        <f>SUM(C26:C27)</f>
        <v>0</v>
      </c>
      <c r="D25" s="265"/>
      <c r="E25" s="394"/>
      <c r="F25" s="394"/>
      <c r="G25" s="394"/>
      <c r="H25" s="394"/>
    </row>
    <row r="26" spans="1:8" s="377" customFormat="1" ht="12" customHeight="1">
      <c r="A26" s="399" t="s">
        <v>285</v>
      </c>
      <c r="B26" s="400" t="s">
        <v>514</v>
      </c>
      <c r="C26" s="96"/>
      <c r="D26" s="96"/>
      <c r="E26" s="381"/>
      <c r="F26" s="381"/>
      <c r="G26" s="381"/>
      <c r="H26" s="381"/>
    </row>
    <row r="27" spans="1:8" s="377" customFormat="1" ht="12" customHeight="1">
      <c r="A27" s="399" t="s">
        <v>287</v>
      </c>
      <c r="B27" s="401" t="s">
        <v>517</v>
      </c>
      <c r="C27" s="266"/>
      <c r="D27" s="266"/>
      <c r="E27" s="380"/>
      <c r="F27" s="380"/>
      <c r="G27" s="380"/>
      <c r="H27" s="380"/>
    </row>
    <row r="28" spans="1:8" s="377" customFormat="1" ht="12" customHeight="1" thickBot="1">
      <c r="A28" s="398" t="s">
        <v>288</v>
      </c>
      <c r="B28" s="402" t="s">
        <v>618</v>
      </c>
      <c r="C28" s="384"/>
      <c r="D28" s="384"/>
      <c r="E28" s="379"/>
      <c r="F28" s="379"/>
      <c r="G28" s="379"/>
      <c r="H28" s="379"/>
    </row>
    <row r="29" spans="1:8" s="377" customFormat="1" ht="12" customHeight="1" thickBot="1">
      <c r="A29" s="387" t="s">
        <v>10</v>
      </c>
      <c r="B29" s="218" t="s">
        <v>518</v>
      </c>
      <c r="C29" s="265">
        <f aca="true" t="shared" si="2" ref="C29:H29">SUM(C30:C32)</f>
        <v>0</v>
      </c>
      <c r="D29" s="265">
        <f t="shared" si="2"/>
        <v>0</v>
      </c>
      <c r="E29" s="394">
        <f t="shared" si="2"/>
        <v>0</v>
      </c>
      <c r="F29" s="394">
        <f t="shared" si="2"/>
        <v>0</v>
      </c>
      <c r="G29" s="394">
        <f t="shared" si="2"/>
        <v>0</v>
      </c>
      <c r="H29" s="394">
        <f t="shared" si="2"/>
        <v>0</v>
      </c>
    </row>
    <row r="30" spans="1:8" s="377" customFormat="1" ht="12" customHeight="1">
      <c r="A30" s="399" t="s">
        <v>59</v>
      </c>
      <c r="B30" s="400" t="s">
        <v>305</v>
      </c>
      <c r="C30" s="96"/>
      <c r="D30" s="96"/>
      <c r="E30" s="381"/>
      <c r="F30" s="381"/>
      <c r="G30" s="381"/>
      <c r="H30" s="381"/>
    </row>
    <row r="31" spans="1:8" s="377" customFormat="1" ht="12" customHeight="1">
      <c r="A31" s="399" t="s">
        <v>60</v>
      </c>
      <c r="B31" s="401" t="s">
        <v>306</v>
      </c>
      <c r="C31" s="266"/>
      <c r="D31" s="266"/>
      <c r="E31" s="380"/>
      <c r="F31" s="380"/>
      <c r="G31" s="380"/>
      <c r="H31" s="380"/>
    </row>
    <row r="32" spans="1:8" s="377" customFormat="1" ht="12" customHeight="1" thickBot="1">
      <c r="A32" s="398" t="s">
        <v>61</v>
      </c>
      <c r="B32" s="386" t="s">
        <v>308</v>
      </c>
      <c r="C32" s="384"/>
      <c r="D32" s="384"/>
      <c r="E32" s="379"/>
      <c r="F32" s="379"/>
      <c r="G32" s="379"/>
      <c r="H32" s="379"/>
    </row>
    <row r="33" spans="1:8" s="377" customFormat="1" ht="12" customHeight="1" thickBot="1">
      <c r="A33" s="387" t="s">
        <v>11</v>
      </c>
      <c r="B33" s="218" t="s">
        <v>432</v>
      </c>
      <c r="C33" s="40"/>
      <c r="D33" s="40"/>
      <c r="E33" s="393"/>
      <c r="F33" s="393"/>
      <c r="G33" s="393"/>
      <c r="H33" s="393"/>
    </row>
    <row r="34" spans="1:8" s="353" customFormat="1" ht="12" customHeight="1" thickBot="1">
      <c r="A34" s="387" t="s">
        <v>12</v>
      </c>
      <c r="B34" s="218" t="s">
        <v>519</v>
      </c>
      <c r="C34" s="40"/>
      <c r="D34" s="40"/>
      <c r="E34" s="393"/>
      <c r="F34" s="393"/>
      <c r="G34" s="393"/>
      <c r="H34" s="393"/>
    </row>
    <row r="35" spans="1:8" s="353" customFormat="1" ht="12" customHeight="1" thickBot="1">
      <c r="A35" s="332" t="s">
        <v>13</v>
      </c>
      <c r="B35" s="218" t="s">
        <v>619</v>
      </c>
      <c r="C35" s="265">
        <f aca="true" t="shared" si="3" ref="C35:H35">+C8+C19+C24+C25+C29+C33+C34</f>
        <v>9330000</v>
      </c>
      <c r="D35" s="265">
        <f t="shared" si="3"/>
        <v>9330000</v>
      </c>
      <c r="E35" s="265">
        <f t="shared" si="3"/>
        <v>5451907</v>
      </c>
      <c r="F35" s="265">
        <f t="shared" si="3"/>
        <v>5451908</v>
      </c>
      <c r="G35" s="265">
        <f t="shared" si="3"/>
        <v>0</v>
      </c>
      <c r="H35" s="265">
        <f t="shared" si="3"/>
        <v>0</v>
      </c>
    </row>
    <row r="36" spans="1:8" s="353" customFormat="1" ht="12" customHeight="1" thickBot="1">
      <c r="A36" s="389" t="s">
        <v>14</v>
      </c>
      <c r="B36" s="218" t="s">
        <v>521</v>
      </c>
      <c r="C36" s="265">
        <f aca="true" t="shared" si="4" ref="C36:H36">+C37+C38+C39</f>
        <v>159752000</v>
      </c>
      <c r="D36" s="265">
        <f t="shared" si="4"/>
        <v>164881465</v>
      </c>
      <c r="E36" s="394">
        <f t="shared" si="4"/>
        <v>136449976</v>
      </c>
      <c r="F36" s="394">
        <f t="shared" si="4"/>
        <v>136449976</v>
      </c>
      <c r="G36" s="394">
        <f t="shared" si="4"/>
        <v>0</v>
      </c>
      <c r="H36" s="394">
        <f t="shared" si="4"/>
        <v>0</v>
      </c>
    </row>
    <row r="37" spans="1:8" s="353" customFormat="1" ht="12" customHeight="1">
      <c r="A37" s="399" t="s">
        <v>522</v>
      </c>
      <c r="B37" s="400" t="s">
        <v>159</v>
      </c>
      <c r="C37" s="96"/>
      <c r="D37" s="96">
        <v>4247906</v>
      </c>
      <c r="E37" s="381">
        <v>4247906</v>
      </c>
      <c r="F37" s="381">
        <v>4247906</v>
      </c>
      <c r="G37" s="381"/>
      <c r="H37" s="381"/>
    </row>
    <row r="38" spans="1:8" s="377" customFormat="1" ht="12" customHeight="1">
      <c r="A38" s="399" t="s">
        <v>523</v>
      </c>
      <c r="B38" s="401" t="s">
        <v>2</v>
      </c>
      <c r="C38" s="266"/>
      <c r="D38" s="266"/>
      <c r="E38" s="380"/>
      <c r="F38" s="380"/>
      <c r="G38" s="380"/>
      <c r="H38" s="380"/>
    </row>
    <row r="39" spans="1:8" s="377" customFormat="1" ht="12" customHeight="1" thickBot="1">
      <c r="A39" s="398" t="s">
        <v>524</v>
      </c>
      <c r="B39" s="386" t="s">
        <v>525</v>
      </c>
      <c r="C39" s="384">
        <v>159752000</v>
      </c>
      <c r="D39" s="384">
        <v>160633559</v>
      </c>
      <c r="E39" s="379">
        <v>132202070</v>
      </c>
      <c r="F39" s="379">
        <v>132202070</v>
      </c>
      <c r="G39" s="379"/>
      <c r="H39" s="379"/>
    </row>
    <row r="40" spans="1:8" s="377" customFormat="1" ht="15" customHeight="1" thickBot="1">
      <c r="A40" s="389" t="s">
        <v>15</v>
      </c>
      <c r="B40" s="390" t="s">
        <v>526</v>
      </c>
      <c r="C40" s="102">
        <f aca="true" t="shared" si="5" ref="C40:H40">+C35+C36</f>
        <v>169082000</v>
      </c>
      <c r="D40" s="102">
        <f t="shared" si="5"/>
        <v>174211465</v>
      </c>
      <c r="E40" s="395">
        <f t="shared" si="5"/>
        <v>141901883</v>
      </c>
      <c r="F40" s="395">
        <f t="shared" si="5"/>
        <v>141901884</v>
      </c>
      <c r="G40" s="395">
        <f t="shared" si="5"/>
        <v>0</v>
      </c>
      <c r="H40" s="395">
        <f t="shared" si="5"/>
        <v>0</v>
      </c>
    </row>
    <row r="41" spans="1:5" s="377" customFormat="1" ht="15" customHeight="1">
      <c r="A41" s="338"/>
      <c r="B41" s="339"/>
      <c r="C41" s="351"/>
      <c r="D41" s="351"/>
      <c r="E41" s="351"/>
    </row>
    <row r="42" spans="1:5" ht="12.75">
      <c r="A42" s="340"/>
      <c r="B42" s="341"/>
      <c r="C42" s="352"/>
      <c r="D42" s="352"/>
      <c r="E42" s="352"/>
    </row>
    <row r="43" spans="1:8" s="376" customFormat="1" ht="16.5" customHeight="1" thickBot="1">
      <c r="A43" s="863" t="s">
        <v>42</v>
      </c>
      <c r="B43" s="864"/>
      <c r="C43" s="864"/>
      <c r="D43" s="864"/>
      <c r="E43" s="864"/>
      <c r="F43" s="864"/>
      <c r="G43" s="864"/>
      <c r="H43" s="864"/>
    </row>
    <row r="44" spans="1:8" s="196" customFormat="1" ht="12" customHeight="1" thickBot="1">
      <c r="A44" s="387" t="s">
        <v>6</v>
      </c>
      <c r="B44" s="218" t="s">
        <v>527</v>
      </c>
      <c r="C44" s="265">
        <f aca="true" t="shared" si="6" ref="C44:H44">SUM(C45:C49)</f>
        <v>165653000</v>
      </c>
      <c r="D44" s="265">
        <f t="shared" si="6"/>
        <v>166634559</v>
      </c>
      <c r="E44" s="297">
        <f t="shared" si="6"/>
        <v>139786608</v>
      </c>
      <c r="F44" s="297">
        <f t="shared" si="6"/>
        <v>139786608</v>
      </c>
      <c r="G44" s="297">
        <f t="shared" si="6"/>
        <v>0</v>
      </c>
      <c r="H44" s="297">
        <f t="shared" si="6"/>
        <v>0</v>
      </c>
    </row>
    <row r="45" spans="1:8" ht="12" customHeight="1">
      <c r="A45" s="398" t="s">
        <v>66</v>
      </c>
      <c r="B45" s="210" t="s">
        <v>36</v>
      </c>
      <c r="C45" s="96">
        <v>111525000</v>
      </c>
      <c r="D45" s="96">
        <v>112566998</v>
      </c>
      <c r="E45" s="292">
        <v>93125234</v>
      </c>
      <c r="F45" s="292">
        <v>93125234</v>
      </c>
      <c r="G45" s="292"/>
      <c r="H45" s="292"/>
    </row>
    <row r="46" spans="1:8" ht="12" customHeight="1">
      <c r="A46" s="398" t="s">
        <v>67</v>
      </c>
      <c r="B46" s="209" t="s">
        <v>127</v>
      </c>
      <c r="C46" s="259">
        <v>21985000</v>
      </c>
      <c r="D46" s="259">
        <v>22999486</v>
      </c>
      <c r="E46" s="293">
        <v>22517486</v>
      </c>
      <c r="F46" s="293">
        <v>22517486</v>
      </c>
      <c r="G46" s="293"/>
      <c r="H46" s="293"/>
    </row>
    <row r="47" spans="1:8" ht="12" customHeight="1">
      <c r="A47" s="398" t="s">
        <v>68</v>
      </c>
      <c r="B47" s="209" t="s">
        <v>95</v>
      </c>
      <c r="C47" s="259">
        <v>32143000</v>
      </c>
      <c r="D47" s="259">
        <v>31068075</v>
      </c>
      <c r="E47" s="293">
        <v>24143888</v>
      </c>
      <c r="F47" s="293">
        <v>24143888</v>
      </c>
      <c r="G47" s="293"/>
      <c r="H47" s="293"/>
    </row>
    <row r="48" spans="1:8" ht="12" customHeight="1">
      <c r="A48" s="398" t="s">
        <v>69</v>
      </c>
      <c r="B48" s="209" t="s">
        <v>128</v>
      </c>
      <c r="C48" s="259"/>
      <c r="D48" s="259"/>
      <c r="E48" s="293"/>
      <c r="F48" s="293"/>
      <c r="G48" s="293"/>
      <c r="H48" s="293"/>
    </row>
    <row r="49" spans="1:8" ht="12" customHeight="1" thickBot="1">
      <c r="A49" s="398" t="s">
        <v>101</v>
      </c>
      <c r="B49" s="209" t="s">
        <v>129</v>
      </c>
      <c r="C49" s="259"/>
      <c r="D49" s="259"/>
      <c r="E49" s="293"/>
      <c r="F49" s="293"/>
      <c r="G49" s="293"/>
      <c r="H49" s="293"/>
    </row>
    <row r="50" spans="1:8" ht="12" customHeight="1" thickBot="1">
      <c r="A50" s="387" t="s">
        <v>7</v>
      </c>
      <c r="B50" s="218" t="s">
        <v>528</v>
      </c>
      <c r="C50" s="265">
        <f aca="true" t="shared" si="7" ref="C50:H50">SUM(C51:C53)</f>
        <v>3429000</v>
      </c>
      <c r="D50" s="265">
        <f t="shared" si="7"/>
        <v>7576906</v>
      </c>
      <c r="E50" s="297">
        <f t="shared" si="7"/>
        <v>1232790</v>
      </c>
      <c r="F50" s="297">
        <f t="shared" si="7"/>
        <v>1232791</v>
      </c>
      <c r="G50" s="297">
        <f t="shared" si="7"/>
        <v>0</v>
      </c>
      <c r="H50" s="297">
        <f t="shared" si="7"/>
        <v>0</v>
      </c>
    </row>
    <row r="51" spans="1:8" s="196" customFormat="1" ht="12" customHeight="1">
      <c r="A51" s="398" t="s">
        <v>72</v>
      </c>
      <c r="B51" s="210" t="s">
        <v>150</v>
      </c>
      <c r="C51" s="96">
        <v>3429000</v>
      </c>
      <c r="D51" s="96">
        <v>7576906</v>
      </c>
      <c r="E51" s="292">
        <v>1232790</v>
      </c>
      <c r="F51" s="292">
        <v>1232791</v>
      </c>
      <c r="G51" s="292"/>
      <c r="H51" s="292"/>
    </row>
    <row r="52" spans="1:8" ht="12" customHeight="1">
      <c r="A52" s="398" t="s">
        <v>73</v>
      </c>
      <c r="B52" s="209" t="s">
        <v>131</v>
      </c>
      <c r="C52" s="259"/>
      <c r="D52" s="259"/>
      <c r="E52" s="293"/>
      <c r="F52" s="293"/>
      <c r="G52" s="293"/>
      <c r="H52" s="293"/>
    </row>
    <row r="53" spans="1:8" ht="12" customHeight="1">
      <c r="A53" s="398" t="s">
        <v>74</v>
      </c>
      <c r="B53" s="209" t="s">
        <v>43</v>
      </c>
      <c r="C53" s="259"/>
      <c r="D53" s="259"/>
      <c r="E53" s="293"/>
      <c r="F53" s="293"/>
      <c r="G53" s="293"/>
      <c r="H53" s="293"/>
    </row>
    <row r="54" spans="1:8" ht="12" customHeight="1" thickBot="1">
      <c r="A54" s="398" t="s">
        <v>75</v>
      </c>
      <c r="B54" s="209" t="s">
        <v>620</v>
      </c>
      <c r="C54" s="259"/>
      <c r="D54" s="259"/>
      <c r="E54" s="293"/>
      <c r="F54" s="293"/>
      <c r="G54" s="293"/>
      <c r="H54" s="293"/>
    </row>
    <row r="55" spans="1:8" ht="12" customHeight="1" thickBot="1">
      <c r="A55" s="387" t="s">
        <v>8</v>
      </c>
      <c r="B55" s="391" t="s">
        <v>529</v>
      </c>
      <c r="C55" s="265">
        <f aca="true" t="shared" si="8" ref="C55:H55">+C44+C50</f>
        <v>169082000</v>
      </c>
      <c r="D55" s="265">
        <f t="shared" si="8"/>
        <v>174211465</v>
      </c>
      <c r="E55" s="297">
        <f t="shared" si="8"/>
        <v>141019398</v>
      </c>
      <c r="F55" s="297">
        <f t="shared" si="8"/>
        <v>141019399</v>
      </c>
      <c r="G55" s="297">
        <f t="shared" si="8"/>
        <v>0</v>
      </c>
      <c r="H55" s="297">
        <f t="shared" si="8"/>
        <v>0</v>
      </c>
    </row>
    <row r="56" spans="3:5" ht="13.5" thickBot="1">
      <c r="C56" s="396"/>
      <c r="D56" s="396"/>
      <c r="E56" s="396"/>
    </row>
    <row r="57" spans="1:8" ht="15" customHeight="1" thickBot="1">
      <c r="A57" s="342" t="s">
        <v>616</v>
      </c>
      <c r="B57" s="343"/>
      <c r="C57" s="106">
        <v>28</v>
      </c>
      <c r="D57" s="106">
        <v>28</v>
      </c>
      <c r="E57" s="385">
        <v>28</v>
      </c>
      <c r="F57" s="385"/>
      <c r="G57" s="385"/>
      <c r="H57" s="385"/>
    </row>
    <row r="58" spans="1:8" ht="14.25" customHeight="1" thickBot="1">
      <c r="A58" s="342" t="s">
        <v>143</v>
      </c>
      <c r="B58" s="343"/>
      <c r="C58" s="106">
        <v>0</v>
      </c>
      <c r="D58" s="106">
        <v>0</v>
      </c>
      <c r="E58" s="385">
        <v>0</v>
      </c>
      <c r="F58" s="385"/>
      <c r="G58" s="385"/>
      <c r="H58" s="385"/>
    </row>
  </sheetData>
  <sheetProtection formatCells="0"/>
  <mergeCells count="5">
    <mergeCell ref="A1:H1"/>
    <mergeCell ref="B2:H2"/>
    <mergeCell ref="B3:H3"/>
    <mergeCell ref="A7:H7"/>
    <mergeCell ref="A43:H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58"/>
  <sheetViews>
    <sheetView zoomScaleSheetLayoutView="145" workbookViewId="0" topLeftCell="A54">
      <selection activeCell="A1" sqref="A1:I60"/>
    </sheetView>
  </sheetViews>
  <sheetFormatPr defaultColWidth="9.375" defaultRowHeight="12.75"/>
  <cols>
    <col min="1" max="1" width="18.625" style="392" customWidth="1"/>
    <col min="2" max="2" width="62.00390625" style="31" customWidth="1"/>
    <col min="3" max="5" width="15.75390625" style="31" customWidth="1"/>
    <col min="6" max="6" width="14.75390625" style="31" customWidth="1"/>
    <col min="7" max="7" width="13.375" style="31" customWidth="1"/>
    <col min="8" max="8" width="12.375" style="31" customWidth="1"/>
    <col min="9" max="16384" width="9.375" style="31" customWidth="1"/>
  </cols>
  <sheetData>
    <row r="1" spans="1:8" s="334" customFormat="1" ht="21" customHeight="1" thickBot="1">
      <c r="A1" s="856" t="str">
        <f>+CONCATENATE("8. melléklet a 4/",LEFT(ÖSSZEFÜGGÉSEK!A4,4)+1,". (V.30.) önkormányzati rendelethez")</f>
        <v>8. melléklet a 4/2018. (V.30.) önkormányzati rendelethez</v>
      </c>
      <c r="B1" s="856"/>
      <c r="C1" s="856"/>
      <c r="D1" s="856"/>
      <c r="E1" s="856"/>
      <c r="F1" s="856"/>
      <c r="G1" s="856"/>
      <c r="H1" s="856"/>
    </row>
    <row r="2" spans="1:8" s="374" customFormat="1" ht="25.5" customHeight="1">
      <c r="A2" s="357" t="s">
        <v>141</v>
      </c>
      <c r="B2" s="857" t="s">
        <v>677</v>
      </c>
      <c r="C2" s="858"/>
      <c r="D2" s="858"/>
      <c r="E2" s="858"/>
      <c r="F2" s="858"/>
      <c r="G2" s="858"/>
      <c r="H2" s="859"/>
    </row>
    <row r="3" spans="1:8" s="374" customFormat="1" ht="15.75" thickBot="1">
      <c r="A3" s="373" t="s">
        <v>140</v>
      </c>
      <c r="B3" s="860" t="s">
        <v>504</v>
      </c>
      <c r="C3" s="861"/>
      <c r="D3" s="861"/>
      <c r="E3" s="861"/>
      <c r="F3" s="861"/>
      <c r="G3" s="861"/>
      <c r="H3" s="862"/>
    </row>
    <row r="4" spans="1:8" s="375" customFormat="1" ht="15.75" customHeight="1" thickBot="1">
      <c r="A4" s="335"/>
      <c r="B4" s="335"/>
      <c r="C4" s="336"/>
      <c r="D4" s="336"/>
      <c r="E4" s="336"/>
      <c r="F4" s="336"/>
      <c r="G4" s="336"/>
      <c r="H4" s="336" t="s">
        <v>681</v>
      </c>
    </row>
    <row r="5" spans="1:8" ht="23.25" thickBot="1">
      <c r="A5" s="206" t="s">
        <v>142</v>
      </c>
      <c r="B5" s="207" t="s">
        <v>40</v>
      </c>
      <c r="C5" s="93" t="s">
        <v>172</v>
      </c>
      <c r="D5" s="93" t="s">
        <v>176</v>
      </c>
      <c r="E5" s="337" t="s">
        <v>177</v>
      </c>
      <c r="F5" s="337" t="s">
        <v>972</v>
      </c>
      <c r="G5" s="337" t="s">
        <v>973</v>
      </c>
      <c r="H5" s="337" t="s">
        <v>974</v>
      </c>
    </row>
    <row r="6" spans="1:8" s="376" customFormat="1" ht="12.75" customHeight="1" thickBot="1">
      <c r="A6" s="332" t="s">
        <v>373</v>
      </c>
      <c r="B6" s="333" t="s">
        <v>374</v>
      </c>
      <c r="C6" s="333" t="s">
        <v>375</v>
      </c>
      <c r="D6" s="105" t="s">
        <v>376</v>
      </c>
      <c r="E6" s="103" t="s">
        <v>377</v>
      </c>
      <c r="F6" s="103" t="s">
        <v>453</v>
      </c>
      <c r="G6" s="103" t="s">
        <v>454</v>
      </c>
      <c r="H6" s="103" t="s">
        <v>455</v>
      </c>
    </row>
    <row r="7" spans="1:5" s="376" customFormat="1" ht="15.75" customHeight="1" thickBot="1">
      <c r="A7" s="853" t="s">
        <v>41</v>
      </c>
      <c r="B7" s="854"/>
      <c r="C7" s="854"/>
      <c r="D7" s="854"/>
      <c r="E7" s="855"/>
    </row>
    <row r="8" spans="1:8" s="353" customFormat="1" ht="12" customHeight="1" thickBot="1">
      <c r="A8" s="332" t="s">
        <v>6</v>
      </c>
      <c r="B8" s="388" t="s">
        <v>510</v>
      </c>
      <c r="C8" s="265">
        <f aca="true" t="shared" si="0" ref="C8:H8">SUM(C9:C18)</f>
        <v>0</v>
      </c>
      <c r="D8" s="410">
        <f t="shared" si="0"/>
        <v>0</v>
      </c>
      <c r="E8" s="394">
        <f t="shared" si="0"/>
        <v>165839</v>
      </c>
      <c r="F8" s="394">
        <f t="shared" si="0"/>
        <v>165839</v>
      </c>
      <c r="G8" s="394">
        <f t="shared" si="0"/>
        <v>0</v>
      </c>
      <c r="H8" s="394">
        <f t="shared" si="0"/>
        <v>0</v>
      </c>
    </row>
    <row r="9" spans="1:8" s="353" customFormat="1" ht="12" customHeight="1">
      <c r="A9" s="397" t="s">
        <v>66</v>
      </c>
      <c r="B9" s="211" t="s">
        <v>292</v>
      </c>
      <c r="C9" s="99"/>
      <c r="D9" s="411"/>
      <c r="E9" s="383"/>
      <c r="F9" s="383"/>
      <c r="G9" s="383"/>
      <c r="H9" s="383"/>
    </row>
    <row r="10" spans="1:8" s="353" customFormat="1" ht="12" customHeight="1">
      <c r="A10" s="398" t="s">
        <v>67</v>
      </c>
      <c r="B10" s="209" t="s">
        <v>293</v>
      </c>
      <c r="C10" s="262"/>
      <c r="D10" s="412"/>
      <c r="E10" s="108"/>
      <c r="F10" s="108"/>
      <c r="G10" s="108"/>
      <c r="H10" s="108"/>
    </row>
    <row r="11" spans="1:8" s="353" customFormat="1" ht="12" customHeight="1">
      <c r="A11" s="398" t="s">
        <v>68</v>
      </c>
      <c r="B11" s="209" t="s">
        <v>294</v>
      </c>
      <c r="C11" s="262"/>
      <c r="D11" s="412"/>
      <c r="E11" s="108"/>
      <c r="F11" s="108"/>
      <c r="G11" s="108"/>
      <c r="H11" s="108"/>
    </row>
    <row r="12" spans="1:8" s="353" customFormat="1" ht="12" customHeight="1">
      <c r="A12" s="398" t="s">
        <v>69</v>
      </c>
      <c r="B12" s="209" t="s">
        <v>295</v>
      </c>
      <c r="C12" s="262"/>
      <c r="D12" s="412"/>
      <c r="E12" s="108"/>
      <c r="F12" s="108"/>
      <c r="G12" s="108"/>
      <c r="H12" s="108"/>
    </row>
    <row r="13" spans="1:8" s="353" customFormat="1" ht="12" customHeight="1">
      <c r="A13" s="398" t="s">
        <v>101</v>
      </c>
      <c r="B13" s="209" t="s">
        <v>296</v>
      </c>
      <c r="C13" s="262"/>
      <c r="D13" s="412"/>
      <c r="E13" s="108"/>
      <c r="F13" s="108"/>
      <c r="G13" s="108"/>
      <c r="H13" s="108"/>
    </row>
    <row r="14" spans="1:8" s="353" customFormat="1" ht="12" customHeight="1">
      <c r="A14" s="398" t="s">
        <v>70</v>
      </c>
      <c r="B14" s="209" t="s">
        <v>511</v>
      </c>
      <c r="C14" s="262"/>
      <c r="D14" s="412"/>
      <c r="E14" s="108"/>
      <c r="F14" s="108"/>
      <c r="G14" s="108"/>
      <c r="H14" s="108"/>
    </row>
    <row r="15" spans="1:8" s="377" customFormat="1" ht="12" customHeight="1">
      <c r="A15" s="398" t="s">
        <v>71</v>
      </c>
      <c r="B15" s="208" t="s">
        <v>512</v>
      </c>
      <c r="C15" s="262"/>
      <c r="D15" s="412"/>
      <c r="E15" s="108"/>
      <c r="F15" s="108"/>
      <c r="G15" s="108"/>
      <c r="H15" s="108"/>
    </row>
    <row r="16" spans="1:8" s="377" customFormat="1" ht="12" customHeight="1">
      <c r="A16" s="398" t="s">
        <v>79</v>
      </c>
      <c r="B16" s="209" t="s">
        <v>299</v>
      </c>
      <c r="C16" s="100"/>
      <c r="D16" s="413"/>
      <c r="E16" s="382">
        <v>57</v>
      </c>
      <c r="F16" s="382">
        <v>57</v>
      </c>
      <c r="G16" s="382"/>
      <c r="H16" s="382"/>
    </row>
    <row r="17" spans="1:8" s="353" customFormat="1" ht="12" customHeight="1">
      <c r="A17" s="398" t="s">
        <v>80</v>
      </c>
      <c r="B17" s="209" t="s">
        <v>301</v>
      </c>
      <c r="C17" s="262"/>
      <c r="D17" s="412"/>
      <c r="E17" s="108"/>
      <c r="F17" s="108"/>
      <c r="G17" s="108"/>
      <c r="H17" s="108"/>
    </row>
    <row r="18" spans="1:8" s="377" customFormat="1" ht="12" customHeight="1" thickBot="1">
      <c r="A18" s="398" t="s">
        <v>81</v>
      </c>
      <c r="B18" s="208" t="s">
        <v>303</v>
      </c>
      <c r="C18" s="264"/>
      <c r="D18" s="109"/>
      <c r="E18" s="378">
        <v>165782</v>
      </c>
      <c r="F18" s="378">
        <v>165782</v>
      </c>
      <c r="G18" s="378"/>
      <c r="H18" s="378"/>
    </row>
    <row r="19" spans="1:8" s="377" customFormat="1" ht="12" customHeight="1" thickBot="1">
      <c r="A19" s="332" t="s">
        <v>7</v>
      </c>
      <c r="B19" s="388" t="s">
        <v>513</v>
      </c>
      <c r="C19" s="265">
        <f aca="true" t="shared" si="1" ref="C19:H19">SUM(C20:C22)</f>
        <v>0</v>
      </c>
      <c r="D19" s="410">
        <f t="shared" si="1"/>
        <v>0</v>
      </c>
      <c r="E19" s="394">
        <f t="shared" si="1"/>
        <v>0</v>
      </c>
      <c r="F19" s="394">
        <f t="shared" si="1"/>
        <v>0</v>
      </c>
      <c r="G19" s="394">
        <f t="shared" si="1"/>
        <v>0</v>
      </c>
      <c r="H19" s="394">
        <f t="shared" si="1"/>
        <v>0</v>
      </c>
    </row>
    <row r="20" spans="1:8" s="377" customFormat="1" ht="12" customHeight="1">
      <c r="A20" s="398" t="s">
        <v>72</v>
      </c>
      <c r="B20" s="210" t="s">
        <v>271</v>
      </c>
      <c r="C20" s="262"/>
      <c r="D20" s="412"/>
      <c r="E20" s="108"/>
      <c r="F20" s="108"/>
      <c r="G20" s="108"/>
      <c r="H20" s="108"/>
    </row>
    <row r="21" spans="1:8" s="377" customFormat="1" ht="12" customHeight="1">
      <c r="A21" s="398" t="s">
        <v>73</v>
      </c>
      <c r="B21" s="209" t="s">
        <v>514</v>
      </c>
      <c r="C21" s="262"/>
      <c r="D21" s="412"/>
      <c r="E21" s="108"/>
      <c r="F21" s="108"/>
      <c r="G21" s="108"/>
      <c r="H21" s="108"/>
    </row>
    <row r="22" spans="1:8" s="377" customFormat="1" ht="12" customHeight="1">
      <c r="A22" s="398" t="s">
        <v>74</v>
      </c>
      <c r="B22" s="209" t="s">
        <v>515</v>
      </c>
      <c r="C22" s="262"/>
      <c r="D22" s="412"/>
      <c r="E22" s="108"/>
      <c r="F22" s="108"/>
      <c r="G22" s="108"/>
      <c r="H22" s="108"/>
    </row>
    <row r="23" spans="1:8" s="353" customFormat="1" ht="12" customHeight="1" thickBot="1">
      <c r="A23" s="398" t="s">
        <v>75</v>
      </c>
      <c r="B23" s="209" t="s">
        <v>621</v>
      </c>
      <c r="C23" s="262"/>
      <c r="D23" s="412"/>
      <c r="E23" s="108"/>
      <c r="F23" s="108"/>
      <c r="G23" s="108"/>
      <c r="H23" s="108"/>
    </row>
    <row r="24" spans="1:8" s="353" customFormat="1" ht="12" customHeight="1" thickBot="1">
      <c r="A24" s="387" t="s">
        <v>8</v>
      </c>
      <c r="B24" s="218" t="s">
        <v>118</v>
      </c>
      <c r="C24" s="40"/>
      <c r="D24" s="414"/>
      <c r="E24" s="393"/>
      <c r="F24" s="393"/>
      <c r="G24" s="393"/>
      <c r="H24" s="393"/>
    </row>
    <row r="25" spans="1:8" s="353" customFormat="1" ht="12" customHeight="1" thickBot="1">
      <c r="A25" s="387" t="s">
        <v>9</v>
      </c>
      <c r="B25" s="218" t="s">
        <v>516</v>
      </c>
      <c r="C25" s="265">
        <f aca="true" t="shared" si="2" ref="C25:H25">+C26+C27</f>
        <v>0</v>
      </c>
      <c r="D25" s="410">
        <f t="shared" si="2"/>
        <v>0</v>
      </c>
      <c r="E25" s="394">
        <f t="shared" si="2"/>
        <v>0</v>
      </c>
      <c r="F25" s="394">
        <f t="shared" si="2"/>
        <v>0</v>
      </c>
      <c r="G25" s="394">
        <f t="shared" si="2"/>
        <v>0</v>
      </c>
      <c r="H25" s="394">
        <f t="shared" si="2"/>
        <v>0</v>
      </c>
    </row>
    <row r="26" spans="1:8" s="353" customFormat="1" ht="12" customHeight="1">
      <c r="A26" s="399" t="s">
        <v>285</v>
      </c>
      <c r="B26" s="400" t="s">
        <v>514</v>
      </c>
      <c r="C26" s="96"/>
      <c r="D26" s="405"/>
      <c r="E26" s="381"/>
      <c r="F26" s="381"/>
      <c r="G26" s="381"/>
      <c r="H26" s="381"/>
    </row>
    <row r="27" spans="1:8" s="353" customFormat="1" ht="12" customHeight="1">
      <c r="A27" s="399" t="s">
        <v>287</v>
      </c>
      <c r="B27" s="401" t="s">
        <v>517</v>
      </c>
      <c r="C27" s="266"/>
      <c r="D27" s="415"/>
      <c r="E27" s="380"/>
      <c r="F27" s="380"/>
      <c r="G27" s="380"/>
      <c r="H27" s="380"/>
    </row>
    <row r="28" spans="1:8" s="353" customFormat="1" ht="12" customHeight="1" thickBot="1">
      <c r="A28" s="398" t="s">
        <v>288</v>
      </c>
      <c r="B28" s="402" t="s">
        <v>622</v>
      </c>
      <c r="C28" s="384"/>
      <c r="D28" s="416"/>
      <c r="E28" s="379"/>
      <c r="F28" s="379"/>
      <c r="G28" s="379"/>
      <c r="H28" s="379"/>
    </row>
    <row r="29" spans="1:8" s="353" customFormat="1" ht="12" customHeight="1" thickBot="1">
      <c r="A29" s="387" t="s">
        <v>10</v>
      </c>
      <c r="B29" s="218" t="s">
        <v>518</v>
      </c>
      <c r="C29" s="265">
        <f aca="true" t="shared" si="3" ref="C29:H29">+C30+C31+C32</f>
        <v>0</v>
      </c>
      <c r="D29" s="410">
        <f t="shared" si="3"/>
        <v>0</v>
      </c>
      <c r="E29" s="394">
        <f t="shared" si="3"/>
        <v>0</v>
      </c>
      <c r="F29" s="394">
        <f t="shared" si="3"/>
        <v>0</v>
      </c>
      <c r="G29" s="394">
        <f t="shared" si="3"/>
        <v>0</v>
      </c>
      <c r="H29" s="394">
        <f t="shared" si="3"/>
        <v>0</v>
      </c>
    </row>
    <row r="30" spans="1:8" s="353" customFormat="1" ht="12" customHeight="1">
      <c r="A30" s="399" t="s">
        <v>59</v>
      </c>
      <c r="B30" s="400" t="s">
        <v>305</v>
      </c>
      <c r="C30" s="96"/>
      <c r="D30" s="405"/>
      <c r="E30" s="381"/>
      <c r="F30" s="381"/>
      <c r="G30" s="381"/>
      <c r="H30" s="381"/>
    </row>
    <row r="31" spans="1:8" s="353" customFormat="1" ht="12" customHeight="1">
      <c r="A31" s="399" t="s">
        <v>60</v>
      </c>
      <c r="B31" s="401" t="s">
        <v>306</v>
      </c>
      <c r="C31" s="266"/>
      <c r="D31" s="415"/>
      <c r="E31" s="380"/>
      <c r="F31" s="380"/>
      <c r="G31" s="380"/>
      <c r="H31" s="380"/>
    </row>
    <row r="32" spans="1:8" s="353" customFormat="1" ht="12" customHeight="1" thickBot="1">
      <c r="A32" s="398" t="s">
        <v>61</v>
      </c>
      <c r="B32" s="386" t="s">
        <v>308</v>
      </c>
      <c r="C32" s="384"/>
      <c r="D32" s="416"/>
      <c r="E32" s="379"/>
      <c r="F32" s="379"/>
      <c r="G32" s="379"/>
      <c r="H32" s="379"/>
    </row>
    <row r="33" spans="1:8" s="353" customFormat="1" ht="12" customHeight="1" thickBot="1">
      <c r="A33" s="387" t="s">
        <v>11</v>
      </c>
      <c r="B33" s="218" t="s">
        <v>432</v>
      </c>
      <c r="C33" s="40"/>
      <c r="D33" s="414"/>
      <c r="E33" s="393"/>
      <c r="F33" s="393"/>
      <c r="G33" s="393"/>
      <c r="H33" s="393"/>
    </row>
    <row r="34" spans="1:8" s="353" customFormat="1" ht="12" customHeight="1" thickBot="1">
      <c r="A34" s="387" t="s">
        <v>12</v>
      </c>
      <c r="B34" s="218" t="s">
        <v>519</v>
      </c>
      <c r="C34" s="40"/>
      <c r="D34" s="414"/>
      <c r="E34" s="393"/>
      <c r="F34" s="393"/>
      <c r="G34" s="393"/>
      <c r="H34" s="393"/>
    </row>
    <row r="35" spans="1:8" s="353" customFormat="1" ht="12" customHeight="1" thickBot="1">
      <c r="A35" s="332" t="s">
        <v>13</v>
      </c>
      <c r="B35" s="218" t="s">
        <v>520</v>
      </c>
      <c r="C35" s="265">
        <f aca="true" t="shared" si="4" ref="C35:H35">+C8+C19+C24+C25+C29+C33+C34</f>
        <v>0</v>
      </c>
      <c r="D35" s="410">
        <f t="shared" si="4"/>
        <v>0</v>
      </c>
      <c r="E35" s="394">
        <f t="shared" si="4"/>
        <v>165839</v>
      </c>
      <c r="F35" s="394">
        <f t="shared" si="4"/>
        <v>165839</v>
      </c>
      <c r="G35" s="394">
        <f t="shared" si="4"/>
        <v>0</v>
      </c>
      <c r="H35" s="394">
        <f t="shared" si="4"/>
        <v>0</v>
      </c>
    </row>
    <row r="36" spans="1:8" s="377" customFormat="1" ht="12" customHeight="1" thickBot="1">
      <c r="A36" s="389" t="s">
        <v>14</v>
      </c>
      <c r="B36" s="218" t="s">
        <v>521</v>
      </c>
      <c r="C36" s="265">
        <f>+C37+C38+C39</f>
        <v>65622394</v>
      </c>
      <c r="D36" s="410">
        <f>+D37+D38+D39</f>
        <v>81464053</v>
      </c>
      <c r="E36" s="394">
        <f>+E37+E38+E39</f>
        <v>64279135</v>
      </c>
      <c r="F36" s="394">
        <f>+F37+F38+F39</f>
        <v>62250927</v>
      </c>
      <c r="G36" s="394">
        <f>+G37+G38+G39</f>
        <v>2028208</v>
      </c>
      <c r="H36" s="394"/>
    </row>
    <row r="37" spans="1:8" s="377" customFormat="1" ht="15" customHeight="1">
      <c r="A37" s="399" t="s">
        <v>522</v>
      </c>
      <c r="B37" s="400" t="s">
        <v>159</v>
      </c>
      <c r="C37" s="96"/>
      <c r="D37" s="405">
        <v>4258237</v>
      </c>
      <c r="E37" s="381">
        <v>4258237</v>
      </c>
      <c r="F37" s="381">
        <v>4258237</v>
      </c>
      <c r="G37" s="381"/>
      <c r="H37" s="381"/>
    </row>
    <row r="38" spans="1:8" s="377" customFormat="1" ht="15" customHeight="1">
      <c r="A38" s="399" t="s">
        <v>523</v>
      </c>
      <c r="B38" s="401" t="s">
        <v>2</v>
      </c>
      <c r="C38" s="266"/>
      <c r="D38" s="415"/>
      <c r="E38" s="380"/>
      <c r="F38" s="380"/>
      <c r="G38" s="380"/>
      <c r="H38" s="380"/>
    </row>
    <row r="39" spans="1:8" ht="13.5" thickBot="1">
      <c r="A39" s="398" t="s">
        <v>524</v>
      </c>
      <c r="B39" s="386" t="s">
        <v>525</v>
      </c>
      <c r="C39" s="384">
        <v>65622394</v>
      </c>
      <c r="D39" s="416">
        <v>77205816</v>
      </c>
      <c r="E39" s="379">
        <v>60020898</v>
      </c>
      <c r="F39" s="379">
        <f>E39-G39</f>
        <v>57992690</v>
      </c>
      <c r="G39" s="379">
        <v>2028208</v>
      </c>
      <c r="H39" s="379"/>
    </row>
    <row r="40" spans="1:8" s="376" customFormat="1" ht="16.5" customHeight="1" thickBot="1">
      <c r="A40" s="389" t="s">
        <v>15</v>
      </c>
      <c r="B40" s="390" t="s">
        <v>526</v>
      </c>
      <c r="C40" s="102">
        <f>+C35+C36</f>
        <v>65622394</v>
      </c>
      <c r="D40" s="417">
        <f>+D35+D36</f>
        <v>81464053</v>
      </c>
      <c r="E40" s="395">
        <f>+E35+E36</f>
        <v>64444974</v>
      </c>
      <c r="F40" s="395">
        <f>+F35+F36</f>
        <v>62416766</v>
      </c>
      <c r="G40" s="395">
        <f>+G35+G36</f>
        <v>2028208</v>
      </c>
      <c r="H40" s="395"/>
    </row>
    <row r="41" spans="1:5" s="196" customFormat="1" ht="12" customHeight="1">
      <c r="A41" s="338"/>
      <c r="B41" s="339"/>
      <c r="C41" s="351"/>
      <c r="D41" s="351"/>
      <c r="E41" s="351"/>
    </row>
    <row r="42" spans="1:5" ht="12" customHeight="1" thickBot="1">
      <c r="A42" s="340"/>
      <c r="B42" s="341"/>
      <c r="C42" s="352"/>
      <c r="D42" s="352"/>
      <c r="E42" s="352"/>
    </row>
    <row r="43" spans="1:8" ht="12" customHeight="1" thickBot="1">
      <c r="A43" s="865" t="s">
        <v>42</v>
      </c>
      <c r="B43" s="866"/>
      <c r="C43" s="866"/>
      <c r="D43" s="866"/>
      <c r="E43" s="866"/>
      <c r="F43" s="866"/>
      <c r="G43" s="866"/>
      <c r="H43" s="867"/>
    </row>
    <row r="44" spans="1:8" ht="12" customHeight="1" thickBot="1">
      <c r="A44" s="752" t="s">
        <v>6</v>
      </c>
      <c r="B44" s="753" t="s">
        <v>527</v>
      </c>
      <c r="C44" s="754">
        <f aca="true" t="shared" si="5" ref="C44:H44">SUM(C45:C49)</f>
        <v>64873094</v>
      </c>
      <c r="D44" s="754">
        <f t="shared" si="5"/>
        <v>80577398</v>
      </c>
      <c r="E44" s="755">
        <f t="shared" si="5"/>
        <v>63413719</v>
      </c>
      <c r="F44" s="755">
        <f t="shared" si="5"/>
        <v>54059999</v>
      </c>
      <c r="G44" s="755">
        <f t="shared" si="5"/>
        <v>2028208</v>
      </c>
      <c r="H44" s="755">
        <f t="shared" si="5"/>
        <v>0</v>
      </c>
    </row>
    <row r="45" spans="1:8" ht="12" customHeight="1">
      <c r="A45" s="398" t="s">
        <v>66</v>
      </c>
      <c r="B45" s="210" t="s">
        <v>36</v>
      </c>
      <c r="C45" s="96">
        <v>46317604</v>
      </c>
      <c r="D45" s="96">
        <v>55755618</v>
      </c>
      <c r="E45" s="381">
        <v>46264015</v>
      </c>
      <c r="F45" s="381">
        <f>E45-G45</f>
        <v>44810415</v>
      </c>
      <c r="G45" s="381">
        <v>1453600</v>
      </c>
      <c r="H45" s="381"/>
    </row>
    <row r="46" spans="1:8" ht="12" customHeight="1">
      <c r="A46" s="398" t="s">
        <v>67</v>
      </c>
      <c r="B46" s="209" t="s">
        <v>127</v>
      </c>
      <c r="C46" s="259">
        <v>9389350</v>
      </c>
      <c r="D46" s="259">
        <v>11486216</v>
      </c>
      <c r="E46" s="403">
        <v>9824192</v>
      </c>
      <c r="F46" s="381">
        <f>E46-G46</f>
        <v>9249584</v>
      </c>
      <c r="G46" s="403">
        <v>574608</v>
      </c>
      <c r="H46" s="403"/>
    </row>
    <row r="47" spans="1:8" ht="12" customHeight="1">
      <c r="A47" s="398" t="s">
        <v>68</v>
      </c>
      <c r="B47" s="209" t="s">
        <v>95</v>
      </c>
      <c r="C47" s="259">
        <v>9166140</v>
      </c>
      <c r="D47" s="259">
        <v>13335564</v>
      </c>
      <c r="E47" s="403">
        <v>7325512</v>
      </c>
      <c r="F47" s="403"/>
      <c r="G47" s="403"/>
      <c r="H47" s="403"/>
    </row>
    <row r="48" spans="1:8" s="196" customFormat="1" ht="12" customHeight="1">
      <c r="A48" s="398" t="s">
        <v>69</v>
      </c>
      <c r="B48" s="209" t="s">
        <v>128</v>
      </c>
      <c r="C48" s="259"/>
      <c r="D48" s="259"/>
      <c r="E48" s="403"/>
      <c r="F48" s="403"/>
      <c r="G48" s="403"/>
      <c r="H48" s="403"/>
    </row>
    <row r="49" spans="1:8" ht="12" customHeight="1" thickBot="1">
      <c r="A49" s="398" t="s">
        <v>101</v>
      </c>
      <c r="B49" s="209" t="s">
        <v>129</v>
      </c>
      <c r="C49" s="259"/>
      <c r="D49" s="259"/>
      <c r="E49" s="403"/>
      <c r="F49" s="403"/>
      <c r="G49" s="403"/>
      <c r="H49" s="403"/>
    </row>
    <row r="50" spans="1:8" ht="12" customHeight="1" thickBot="1">
      <c r="A50" s="387" t="s">
        <v>7</v>
      </c>
      <c r="B50" s="218" t="s">
        <v>528</v>
      </c>
      <c r="C50" s="265">
        <f aca="true" t="shared" si="6" ref="C50:H50">SUM(C51:C53)</f>
        <v>749300</v>
      </c>
      <c r="D50" s="265">
        <f t="shared" si="6"/>
        <v>886655</v>
      </c>
      <c r="E50" s="394">
        <f t="shared" si="6"/>
        <v>688265</v>
      </c>
      <c r="F50" s="394">
        <f t="shared" si="6"/>
        <v>0</v>
      </c>
      <c r="G50" s="394">
        <f t="shared" si="6"/>
        <v>0</v>
      </c>
      <c r="H50" s="394">
        <f t="shared" si="6"/>
        <v>0</v>
      </c>
    </row>
    <row r="51" spans="1:8" ht="12" customHeight="1">
      <c r="A51" s="398" t="s">
        <v>72</v>
      </c>
      <c r="B51" s="210" t="s">
        <v>150</v>
      </c>
      <c r="C51" s="96">
        <v>622300</v>
      </c>
      <c r="D51" s="96">
        <v>759655</v>
      </c>
      <c r="E51" s="381">
        <v>688265</v>
      </c>
      <c r="F51" s="381"/>
      <c r="G51" s="381"/>
      <c r="H51" s="381"/>
    </row>
    <row r="52" spans="1:8" ht="12" customHeight="1">
      <c r="A52" s="398" t="s">
        <v>73</v>
      </c>
      <c r="B52" s="209" t="s">
        <v>131</v>
      </c>
      <c r="C52" s="259">
        <v>127000</v>
      </c>
      <c r="D52" s="259">
        <v>127000</v>
      </c>
      <c r="E52" s="403">
        <v>0</v>
      </c>
      <c r="F52" s="403"/>
      <c r="G52" s="403"/>
      <c r="H52" s="403"/>
    </row>
    <row r="53" spans="1:8" ht="15" customHeight="1">
      <c r="A53" s="398" t="s">
        <v>74</v>
      </c>
      <c r="B53" s="209" t="s">
        <v>43</v>
      </c>
      <c r="C53" s="259"/>
      <c r="D53" s="259"/>
      <c r="E53" s="403"/>
      <c r="F53" s="403"/>
      <c r="G53" s="403"/>
      <c r="H53" s="403"/>
    </row>
    <row r="54" spans="1:8" ht="13.5" thickBot="1">
      <c r="A54" s="398" t="s">
        <v>75</v>
      </c>
      <c r="B54" s="209" t="s">
        <v>623</v>
      </c>
      <c r="C54" s="259"/>
      <c r="D54" s="259"/>
      <c r="E54" s="403"/>
      <c r="F54" s="403"/>
      <c r="G54" s="403"/>
      <c r="H54" s="403"/>
    </row>
    <row r="55" spans="1:8" ht="15" customHeight="1" thickBot="1">
      <c r="A55" s="387" t="s">
        <v>8</v>
      </c>
      <c r="B55" s="391" t="s">
        <v>529</v>
      </c>
      <c r="C55" s="102">
        <f aca="true" t="shared" si="7" ref="C55:H55">+C44+C50</f>
        <v>65622394</v>
      </c>
      <c r="D55" s="102">
        <f t="shared" si="7"/>
        <v>81464053</v>
      </c>
      <c r="E55" s="395">
        <f t="shared" si="7"/>
        <v>64101984</v>
      </c>
      <c r="F55" s="395">
        <f t="shared" si="7"/>
        <v>54059999</v>
      </c>
      <c r="G55" s="395">
        <f t="shared" si="7"/>
        <v>2028208</v>
      </c>
      <c r="H55" s="395">
        <f t="shared" si="7"/>
        <v>0</v>
      </c>
    </row>
    <row r="56" spans="3:5" ht="13.5" thickBot="1">
      <c r="C56" s="396"/>
      <c r="D56" s="396"/>
      <c r="E56" s="396"/>
    </row>
    <row r="57" spans="1:8" ht="13.5" thickBot="1">
      <c r="A57" s="342" t="s">
        <v>616</v>
      </c>
      <c r="B57" s="343"/>
      <c r="C57" s="106">
        <v>15</v>
      </c>
      <c r="D57" s="106">
        <v>15</v>
      </c>
      <c r="E57" s="385">
        <v>15</v>
      </c>
      <c r="F57" s="385"/>
      <c r="G57" s="385"/>
      <c r="H57" s="385"/>
    </row>
    <row r="58" spans="1:8" ht="13.5" thickBot="1">
      <c r="A58" s="342" t="s">
        <v>143</v>
      </c>
      <c r="B58" s="343"/>
      <c r="C58" s="106">
        <v>0</v>
      </c>
      <c r="D58" s="106">
        <v>0</v>
      </c>
      <c r="E58" s="385">
        <v>0</v>
      </c>
      <c r="F58" s="385">
        <v>0</v>
      </c>
      <c r="G58" s="385">
        <v>0</v>
      </c>
      <c r="H58" s="385">
        <v>0</v>
      </c>
    </row>
  </sheetData>
  <sheetProtection formatCells="0"/>
  <mergeCells count="5">
    <mergeCell ref="A1:H1"/>
    <mergeCell ref="A43:H43"/>
    <mergeCell ref="A7:E7"/>
    <mergeCell ref="B2:H2"/>
    <mergeCell ref="B3:H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58"/>
  <sheetViews>
    <sheetView zoomScaleSheetLayoutView="145" workbookViewId="0" topLeftCell="A1">
      <selection activeCell="A1" sqref="A1:H1"/>
    </sheetView>
  </sheetViews>
  <sheetFormatPr defaultColWidth="9.375" defaultRowHeight="12.75"/>
  <cols>
    <col min="1" max="1" width="18.625" style="392" customWidth="1"/>
    <col min="2" max="2" width="62.00390625" style="31" customWidth="1"/>
    <col min="3" max="5" width="15.75390625" style="31" customWidth="1"/>
    <col min="6" max="6" width="14.125" style="31" customWidth="1"/>
    <col min="7" max="7" width="12.50390625" style="31" customWidth="1"/>
    <col min="8" max="8" width="13.125" style="31" customWidth="1"/>
    <col min="9" max="16384" width="9.375" style="31" customWidth="1"/>
  </cols>
  <sheetData>
    <row r="1" spans="1:8" s="334" customFormat="1" ht="21" customHeight="1" thickBot="1">
      <c r="A1" s="856" t="str">
        <f>+CONCATENATE("9.melléklet a 4/",LEFT(ÖSSZEFÜGGÉSEK!A4,4)+1,". (V.30.) önkormányzati rendelethez")</f>
        <v>9.melléklet a 4/2018. (V.30.) önkormányzati rendelethez</v>
      </c>
      <c r="B1" s="856"/>
      <c r="C1" s="856"/>
      <c r="D1" s="856"/>
      <c r="E1" s="856"/>
      <c r="F1" s="856"/>
      <c r="G1" s="856"/>
      <c r="H1" s="856"/>
    </row>
    <row r="2" spans="1:8" s="374" customFormat="1" ht="25.5" customHeight="1">
      <c r="A2" s="357" t="s">
        <v>141</v>
      </c>
      <c r="B2" s="857" t="s">
        <v>678</v>
      </c>
      <c r="C2" s="858"/>
      <c r="D2" s="858"/>
      <c r="E2" s="858"/>
      <c r="F2" s="858"/>
      <c r="G2" s="858"/>
      <c r="H2" s="859"/>
    </row>
    <row r="3" spans="1:8" s="374" customFormat="1" ht="15.75" thickBot="1">
      <c r="A3" s="373" t="s">
        <v>140</v>
      </c>
      <c r="B3" s="860" t="s">
        <v>504</v>
      </c>
      <c r="C3" s="861"/>
      <c r="D3" s="861"/>
      <c r="E3" s="861"/>
      <c r="F3" s="861"/>
      <c r="G3" s="861"/>
      <c r="H3" s="862"/>
    </row>
    <row r="4" spans="1:8" s="375" customFormat="1" ht="15.75" customHeight="1" thickBot="1">
      <c r="A4" s="335"/>
      <c r="B4" s="335"/>
      <c r="C4" s="336"/>
      <c r="D4" s="336"/>
      <c r="E4" s="336"/>
      <c r="F4" s="336"/>
      <c r="G4" s="336"/>
      <c r="H4" s="336" t="s">
        <v>684</v>
      </c>
    </row>
    <row r="5" spans="1:8" ht="23.25" thickBot="1">
      <c r="A5" s="206" t="s">
        <v>142</v>
      </c>
      <c r="B5" s="207" t="s">
        <v>40</v>
      </c>
      <c r="C5" s="93" t="s">
        <v>172</v>
      </c>
      <c r="D5" s="93" t="s">
        <v>176</v>
      </c>
      <c r="E5" s="337" t="s">
        <v>177</v>
      </c>
      <c r="F5" s="337" t="s">
        <v>972</v>
      </c>
      <c r="G5" s="337" t="s">
        <v>973</v>
      </c>
      <c r="H5" s="337" t="s">
        <v>974</v>
      </c>
    </row>
    <row r="6" spans="1:8" s="376" customFormat="1" ht="12.75" customHeight="1" thickBot="1">
      <c r="A6" s="332" t="s">
        <v>373</v>
      </c>
      <c r="B6" s="333" t="s">
        <v>374</v>
      </c>
      <c r="C6" s="333" t="s">
        <v>375</v>
      </c>
      <c r="D6" s="105" t="s">
        <v>376</v>
      </c>
      <c r="E6" s="103" t="s">
        <v>377</v>
      </c>
      <c r="F6" s="103" t="s">
        <v>453</v>
      </c>
      <c r="G6" s="103" t="s">
        <v>454</v>
      </c>
      <c r="H6" s="103" t="s">
        <v>455</v>
      </c>
    </row>
    <row r="7" spans="1:8" s="376" customFormat="1" ht="15.75" customHeight="1" thickBot="1">
      <c r="A7" s="868" t="s">
        <v>41</v>
      </c>
      <c r="B7" s="869"/>
      <c r="C7" s="869"/>
      <c r="D7" s="869"/>
      <c r="E7" s="869"/>
      <c r="F7" s="869"/>
      <c r="G7" s="869"/>
      <c r="H7" s="869"/>
    </row>
    <row r="8" spans="1:8" s="353" customFormat="1" ht="12" customHeight="1" thickBot="1">
      <c r="A8" s="445" t="s">
        <v>6</v>
      </c>
      <c r="B8" s="446" t="s">
        <v>510</v>
      </c>
      <c r="C8" s="447">
        <f aca="true" t="shared" si="0" ref="C8:H8">SUM(C9:C18)</f>
        <v>93555000</v>
      </c>
      <c r="D8" s="410">
        <f t="shared" si="0"/>
        <v>96546176</v>
      </c>
      <c r="E8" s="394">
        <f t="shared" si="0"/>
        <v>89736331</v>
      </c>
      <c r="F8" s="394">
        <f t="shared" si="0"/>
        <v>89736331</v>
      </c>
      <c r="G8" s="394">
        <f t="shared" si="0"/>
        <v>0</v>
      </c>
      <c r="H8" s="394">
        <f t="shared" si="0"/>
        <v>0</v>
      </c>
    </row>
    <row r="9" spans="1:8" s="353" customFormat="1" ht="12" customHeight="1">
      <c r="A9" s="397" t="s">
        <v>66</v>
      </c>
      <c r="B9" s="211" t="s">
        <v>292</v>
      </c>
      <c r="C9" s="99">
        <v>2600000</v>
      </c>
      <c r="D9" s="411">
        <v>1168880</v>
      </c>
      <c r="E9" s="383">
        <v>1168880</v>
      </c>
      <c r="F9" s="383">
        <v>1168880</v>
      </c>
      <c r="G9" s="383"/>
      <c r="H9" s="383"/>
    </row>
    <row r="10" spans="1:8" s="353" customFormat="1" ht="12" customHeight="1">
      <c r="A10" s="398" t="s">
        <v>67</v>
      </c>
      <c r="B10" s="209" t="s">
        <v>293</v>
      </c>
      <c r="C10" s="262">
        <v>55900000</v>
      </c>
      <c r="D10" s="412">
        <v>52532632</v>
      </c>
      <c r="E10" s="108">
        <v>50941205</v>
      </c>
      <c r="F10" s="108">
        <v>50941205</v>
      </c>
      <c r="G10" s="108"/>
      <c r="H10" s="108"/>
    </row>
    <row r="11" spans="1:8" s="353" customFormat="1" ht="12" customHeight="1">
      <c r="A11" s="398" t="s">
        <v>68</v>
      </c>
      <c r="B11" s="209" t="s">
        <v>294</v>
      </c>
      <c r="C11" s="262">
        <v>10570000</v>
      </c>
      <c r="D11" s="412">
        <v>23743136</v>
      </c>
      <c r="E11" s="108">
        <v>19428654</v>
      </c>
      <c r="F11" s="108">
        <v>19428654</v>
      </c>
      <c r="G11" s="108"/>
      <c r="H11" s="108"/>
    </row>
    <row r="12" spans="1:8" s="353" customFormat="1" ht="12" customHeight="1">
      <c r="A12" s="398" t="s">
        <v>69</v>
      </c>
      <c r="B12" s="209" t="s">
        <v>295</v>
      </c>
      <c r="C12" s="262"/>
      <c r="D12" s="412"/>
      <c r="E12" s="108"/>
      <c r="F12" s="108"/>
      <c r="G12" s="108"/>
      <c r="H12" s="108"/>
    </row>
    <row r="13" spans="1:8" s="353" customFormat="1" ht="12" customHeight="1">
      <c r="A13" s="398" t="s">
        <v>101</v>
      </c>
      <c r="B13" s="209" t="s">
        <v>296</v>
      </c>
      <c r="C13" s="262">
        <v>4195000</v>
      </c>
      <c r="D13" s="412"/>
      <c r="E13" s="108"/>
      <c r="F13" s="108"/>
      <c r="G13" s="108"/>
      <c r="H13" s="108"/>
    </row>
    <row r="14" spans="1:8" s="353" customFormat="1" ht="12" customHeight="1">
      <c r="A14" s="398" t="s">
        <v>70</v>
      </c>
      <c r="B14" s="209" t="s">
        <v>511</v>
      </c>
      <c r="C14" s="262">
        <v>20260000</v>
      </c>
      <c r="D14" s="412">
        <v>19016287</v>
      </c>
      <c r="E14" s="108">
        <v>18112351</v>
      </c>
      <c r="F14" s="108">
        <v>18112351</v>
      </c>
      <c r="G14" s="108"/>
      <c r="H14" s="108"/>
    </row>
    <row r="15" spans="1:8" s="377" customFormat="1" ht="12" customHeight="1">
      <c r="A15" s="398" t="s">
        <v>71</v>
      </c>
      <c r="B15" s="208" t="s">
        <v>512</v>
      </c>
      <c r="C15" s="262"/>
      <c r="D15" s="412"/>
      <c r="E15" s="108"/>
      <c r="F15" s="108"/>
      <c r="G15" s="108"/>
      <c r="H15" s="108"/>
    </row>
    <row r="16" spans="1:8" s="377" customFormat="1" ht="12" customHeight="1">
      <c r="A16" s="398" t="s">
        <v>79</v>
      </c>
      <c r="B16" s="209" t="s">
        <v>299</v>
      </c>
      <c r="C16" s="100">
        <v>30000</v>
      </c>
      <c r="D16" s="413">
        <v>233</v>
      </c>
      <c r="E16" s="382">
        <v>233</v>
      </c>
      <c r="F16" s="382">
        <v>233</v>
      </c>
      <c r="G16" s="382"/>
      <c r="H16" s="382"/>
    </row>
    <row r="17" spans="1:8" s="353" customFormat="1" ht="12" customHeight="1">
      <c r="A17" s="398" t="s">
        <v>80</v>
      </c>
      <c r="B17" s="209" t="s">
        <v>301</v>
      </c>
      <c r="C17" s="262"/>
      <c r="D17" s="412">
        <v>2594</v>
      </c>
      <c r="E17" s="108">
        <v>2594</v>
      </c>
      <c r="F17" s="108">
        <v>2594</v>
      </c>
      <c r="G17" s="108"/>
      <c r="H17" s="108"/>
    </row>
    <row r="18" spans="1:8" s="377" customFormat="1" ht="12" customHeight="1" thickBot="1">
      <c r="A18" s="398" t="s">
        <v>81</v>
      </c>
      <c r="B18" s="208" t="s">
        <v>303</v>
      </c>
      <c r="C18" s="264"/>
      <c r="D18" s="109">
        <v>82414</v>
      </c>
      <c r="E18" s="378">
        <v>82414</v>
      </c>
      <c r="F18" s="378">
        <v>82414</v>
      </c>
      <c r="G18" s="378"/>
      <c r="H18" s="378"/>
    </row>
    <row r="19" spans="1:8" s="377" customFormat="1" ht="12" customHeight="1" thickBot="1">
      <c r="A19" s="332" t="s">
        <v>7</v>
      </c>
      <c r="B19" s="388" t="s">
        <v>513</v>
      </c>
      <c r="C19" s="265">
        <f aca="true" t="shared" si="1" ref="C19:H19">SUM(C20:C22)</f>
        <v>121595000</v>
      </c>
      <c r="D19" s="410">
        <f t="shared" si="1"/>
        <v>122803824</v>
      </c>
      <c r="E19" s="394">
        <f t="shared" si="1"/>
        <v>116464727</v>
      </c>
      <c r="F19" s="394">
        <f t="shared" si="1"/>
        <v>116464728</v>
      </c>
      <c r="G19" s="394">
        <f t="shared" si="1"/>
        <v>0</v>
      </c>
      <c r="H19" s="394">
        <f t="shared" si="1"/>
        <v>0</v>
      </c>
    </row>
    <row r="20" spans="1:8" s="377" customFormat="1" ht="12" customHeight="1">
      <c r="A20" s="398" t="s">
        <v>72</v>
      </c>
      <c r="B20" s="210" t="s">
        <v>271</v>
      </c>
      <c r="C20" s="262"/>
      <c r="D20" s="412"/>
      <c r="E20" s="108"/>
      <c r="F20" s="108"/>
      <c r="G20" s="108"/>
      <c r="H20" s="108"/>
    </row>
    <row r="21" spans="1:8" s="377" customFormat="1" ht="12" customHeight="1">
      <c r="A21" s="398" t="s">
        <v>73</v>
      </c>
      <c r="B21" s="209" t="s">
        <v>514</v>
      </c>
      <c r="C21" s="262"/>
      <c r="D21" s="412"/>
      <c r="E21" s="108"/>
      <c r="F21" s="108"/>
      <c r="G21" s="108"/>
      <c r="H21" s="108"/>
    </row>
    <row r="22" spans="1:8" s="377" customFormat="1" ht="12" customHeight="1">
      <c r="A22" s="398" t="s">
        <v>74</v>
      </c>
      <c r="B22" s="209" t="s">
        <v>515</v>
      </c>
      <c r="C22" s="262">
        <v>121595000</v>
      </c>
      <c r="D22" s="412">
        <v>122803824</v>
      </c>
      <c r="E22" s="108">
        <v>116464727</v>
      </c>
      <c r="F22" s="108">
        <v>116464728</v>
      </c>
      <c r="G22" s="108"/>
      <c r="H22" s="108"/>
    </row>
    <row r="23" spans="1:8" s="353" customFormat="1" ht="12" customHeight="1" thickBot="1">
      <c r="A23" s="398" t="s">
        <v>75</v>
      </c>
      <c r="B23" s="209" t="s">
        <v>621</v>
      </c>
      <c r="C23" s="262"/>
      <c r="D23" s="412"/>
      <c r="E23" s="108"/>
      <c r="F23" s="108"/>
      <c r="G23" s="108"/>
      <c r="H23" s="108"/>
    </row>
    <row r="24" spans="1:8" s="353" customFormat="1" ht="12" customHeight="1" thickBot="1">
      <c r="A24" s="387" t="s">
        <v>8</v>
      </c>
      <c r="B24" s="218" t="s">
        <v>118</v>
      </c>
      <c r="C24" s="40"/>
      <c r="D24" s="414"/>
      <c r="E24" s="393"/>
      <c r="F24" s="393"/>
      <c r="G24" s="393"/>
      <c r="H24" s="393"/>
    </row>
    <row r="25" spans="1:8" s="353" customFormat="1" ht="12" customHeight="1" thickBot="1">
      <c r="A25" s="387" t="s">
        <v>9</v>
      </c>
      <c r="B25" s="218" t="s">
        <v>516</v>
      </c>
      <c r="C25" s="265">
        <f aca="true" t="shared" si="2" ref="C25:H25">+C26+C27</f>
        <v>0</v>
      </c>
      <c r="D25" s="410">
        <f t="shared" si="2"/>
        <v>0</v>
      </c>
      <c r="E25" s="394">
        <f t="shared" si="2"/>
        <v>0</v>
      </c>
      <c r="F25" s="394">
        <f t="shared" si="2"/>
        <v>0</v>
      </c>
      <c r="G25" s="394">
        <f t="shared" si="2"/>
        <v>0</v>
      </c>
      <c r="H25" s="394">
        <f t="shared" si="2"/>
        <v>0</v>
      </c>
    </row>
    <row r="26" spans="1:8" s="353" customFormat="1" ht="12" customHeight="1">
      <c r="A26" s="399" t="s">
        <v>285</v>
      </c>
      <c r="B26" s="400" t="s">
        <v>514</v>
      </c>
      <c r="C26" s="96"/>
      <c r="D26" s="405"/>
      <c r="E26" s="381"/>
      <c r="F26" s="381"/>
      <c r="G26" s="381"/>
      <c r="H26" s="381"/>
    </row>
    <row r="27" spans="1:8" s="353" customFormat="1" ht="12" customHeight="1">
      <c r="A27" s="399" t="s">
        <v>287</v>
      </c>
      <c r="B27" s="401" t="s">
        <v>517</v>
      </c>
      <c r="C27" s="266"/>
      <c r="D27" s="415"/>
      <c r="E27" s="380"/>
      <c r="F27" s="380"/>
      <c r="G27" s="380"/>
      <c r="H27" s="380"/>
    </row>
    <row r="28" spans="1:8" s="353" customFormat="1" ht="12" customHeight="1" thickBot="1">
      <c r="A28" s="398" t="s">
        <v>288</v>
      </c>
      <c r="B28" s="402" t="s">
        <v>622</v>
      </c>
      <c r="C28" s="384"/>
      <c r="D28" s="416"/>
      <c r="E28" s="379"/>
      <c r="F28" s="379"/>
      <c r="G28" s="379"/>
      <c r="H28" s="379"/>
    </row>
    <row r="29" spans="1:8" s="353" customFormat="1" ht="12" customHeight="1" thickBot="1">
      <c r="A29" s="387" t="s">
        <v>10</v>
      </c>
      <c r="B29" s="218" t="s">
        <v>518</v>
      </c>
      <c r="C29" s="265">
        <f aca="true" t="shared" si="3" ref="C29:H29">+C30+C31+C32</f>
        <v>0</v>
      </c>
      <c r="D29" s="410">
        <f t="shared" si="3"/>
        <v>0</v>
      </c>
      <c r="E29" s="394">
        <f t="shared" si="3"/>
        <v>0</v>
      </c>
      <c r="F29" s="394">
        <f t="shared" si="3"/>
        <v>0</v>
      </c>
      <c r="G29" s="394">
        <f t="shared" si="3"/>
        <v>0</v>
      </c>
      <c r="H29" s="394">
        <f t="shared" si="3"/>
        <v>0</v>
      </c>
    </row>
    <row r="30" spans="1:8" s="353" customFormat="1" ht="12" customHeight="1">
      <c r="A30" s="399" t="s">
        <v>59</v>
      </c>
      <c r="B30" s="400" t="s">
        <v>305</v>
      </c>
      <c r="C30" s="96"/>
      <c r="D30" s="405"/>
      <c r="E30" s="381"/>
      <c r="F30" s="381"/>
      <c r="G30" s="381"/>
      <c r="H30" s="381"/>
    </row>
    <row r="31" spans="1:8" s="353" customFormat="1" ht="12" customHeight="1">
      <c r="A31" s="399" t="s">
        <v>60</v>
      </c>
      <c r="B31" s="401" t="s">
        <v>306</v>
      </c>
      <c r="C31" s="266"/>
      <c r="D31" s="415"/>
      <c r="E31" s="380"/>
      <c r="F31" s="380"/>
      <c r="G31" s="380"/>
      <c r="H31" s="380"/>
    </row>
    <row r="32" spans="1:8" s="353" customFormat="1" ht="12" customHeight="1" thickBot="1">
      <c r="A32" s="398" t="s">
        <v>61</v>
      </c>
      <c r="B32" s="386" t="s">
        <v>308</v>
      </c>
      <c r="C32" s="384"/>
      <c r="D32" s="416"/>
      <c r="E32" s="379"/>
      <c r="F32" s="379"/>
      <c r="G32" s="379"/>
      <c r="H32" s="379"/>
    </row>
    <row r="33" spans="1:8" s="353" customFormat="1" ht="12" customHeight="1" thickBot="1">
      <c r="A33" s="387" t="s">
        <v>11</v>
      </c>
      <c r="B33" s="218" t="s">
        <v>432</v>
      </c>
      <c r="C33" s="40"/>
      <c r="D33" s="414">
        <v>200000</v>
      </c>
      <c r="E33" s="393">
        <v>200000</v>
      </c>
      <c r="F33" s="393">
        <v>200000</v>
      </c>
      <c r="G33" s="393"/>
      <c r="H33" s="393"/>
    </row>
    <row r="34" spans="1:8" s="353" customFormat="1" ht="12" customHeight="1" thickBot="1">
      <c r="A34" s="387" t="s">
        <v>12</v>
      </c>
      <c r="B34" s="218" t="s">
        <v>519</v>
      </c>
      <c r="C34" s="40"/>
      <c r="D34" s="414"/>
      <c r="E34" s="393"/>
      <c r="F34" s="393"/>
      <c r="G34" s="393"/>
      <c r="H34" s="393"/>
    </row>
    <row r="35" spans="1:8" s="353" customFormat="1" ht="12" customHeight="1" thickBot="1">
      <c r="A35" s="332" t="s">
        <v>13</v>
      </c>
      <c r="B35" s="218" t="s">
        <v>520</v>
      </c>
      <c r="C35" s="265">
        <f aca="true" t="shared" si="4" ref="C35:H35">+C8+C19+C24+C25+C29+C33+C34</f>
        <v>215150000</v>
      </c>
      <c r="D35" s="265">
        <f t="shared" si="4"/>
        <v>219550000</v>
      </c>
      <c r="E35" s="265">
        <f t="shared" si="4"/>
        <v>206401058</v>
      </c>
      <c r="F35" s="265">
        <f t="shared" si="4"/>
        <v>206401059</v>
      </c>
      <c r="G35" s="265">
        <f t="shared" si="4"/>
        <v>0</v>
      </c>
      <c r="H35" s="265">
        <f t="shared" si="4"/>
        <v>0</v>
      </c>
    </row>
    <row r="36" spans="1:8" s="377" customFormat="1" ht="12" customHeight="1" thickBot="1">
      <c r="A36" s="389" t="s">
        <v>14</v>
      </c>
      <c r="B36" s="218" t="s">
        <v>521</v>
      </c>
      <c r="C36" s="265">
        <f aca="true" t="shared" si="5" ref="C36:H36">+C37+C38+C39</f>
        <v>263621367</v>
      </c>
      <c r="D36" s="410">
        <f t="shared" si="5"/>
        <v>292125729</v>
      </c>
      <c r="E36" s="394">
        <f t="shared" si="5"/>
        <v>280612542</v>
      </c>
      <c r="F36" s="394">
        <f t="shared" si="5"/>
        <v>269812648</v>
      </c>
      <c r="G36" s="394">
        <f t="shared" si="5"/>
        <v>10799894</v>
      </c>
      <c r="H36" s="394">
        <f t="shared" si="5"/>
        <v>0</v>
      </c>
    </row>
    <row r="37" spans="1:8" s="377" customFormat="1" ht="15" customHeight="1">
      <c r="A37" s="399" t="s">
        <v>522</v>
      </c>
      <c r="B37" s="400" t="s">
        <v>159</v>
      </c>
      <c r="C37" s="96"/>
      <c r="D37" s="405">
        <v>4855619</v>
      </c>
      <c r="E37" s="381">
        <v>4855619</v>
      </c>
      <c r="F37" s="381">
        <v>4855619</v>
      </c>
      <c r="G37" s="381"/>
      <c r="H37" s="381"/>
    </row>
    <row r="38" spans="1:8" s="377" customFormat="1" ht="15" customHeight="1">
      <c r="A38" s="399" t="s">
        <v>523</v>
      </c>
      <c r="B38" s="401" t="s">
        <v>2</v>
      </c>
      <c r="C38" s="266"/>
      <c r="D38" s="415"/>
      <c r="E38" s="380"/>
      <c r="F38" s="380"/>
      <c r="G38" s="380"/>
      <c r="H38" s="380"/>
    </row>
    <row r="39" spans="1:8" ht="13.5" thickBot="1">
      <c r="A39" s="398" t="s">
        <v>524</v>
      </c>
      <c r="B39" s="386" t="s">
        <v>525</v>
      </c>
      <c r="C39" s="384">
        <v>263621367</v>
      </c>
      <c r="D39" s="416">
        <v>287270110</v>
      </c>
      <c r="E39" s="379">
        <v>275756923</v>
      </c>
      <c r="F39" s="379">
        <f>E39-G39</f>
        <v>264957029</v>
      </c>
      <c r="G39" s="379">
        <v>10799894</v>
      </c>
      <c r="H39" s="379"/>
    </row>
    <row r="40" spans="1:8" s="376" customFormat="1" ht="16.5" customHeight="1" thickBot="1">
      <c r="A40" s="389" t="s">
        <v>15</v>
      </c>
      <c r="B40" s="390" t="s">
        <v>526</v>
      </c>
      <c r="C40" s="102">
        <f aca="true" t="shared" si="6" ref="C40:H40">+C35+C36</f>
        <v>478771367</v>
      </c>
      <c r="D40" s="102">
        <f t="shared" si="6"/>
        <v>511675729</v>
      </c>
      <c r="E40" s="102">
        <f t="shared" si="6"/>
        <v>487013600</v>
      </c>
      <c r="F40" s="102">
        <f t="shared" si="6"/>
        <v>476213707</v>
      </c>
      <c r="G40" s="102">
        <f t="shared" si="6"/>
        <v>10799894</v>
      </c>
      <c r="H40" s="102">
        <f t="shared" si="6"/>
        <v>0</v>
      </c>
    </row>
    <row r="41" spans="1:5" s="196" customFormat="1" ht="12" customHeight="1">
      <c r="A41" s="338"/>
      <c r="B41" s="339"/>
      <c r="C41" s="351"/>
      <c r="D41" s="351"/>
      <c r="E41" s="351"/>
    </row>
    <row r="42" spans="1:5" ht="12" customHeight="1" thickBot="1">
      <c r="A42" s="340"/>
      <c r="B42" s="341"/>
      <c r="C42" s="352"/>
      <c r="D42" s="352"/>
      <c r="E42" s="352"/>
    </row>
    <row r="43" spans="1:8" ht="12" customHeight="1" thickBot="1">
      <c r="A43" s="853" t="s">
        <v>42</v>
      </c>
      <c r="B43" s="854"/>
      <c r="C43" s="854"/>
      <c r="D43" s="854"/>
      <c r="E43" s="854"/>
      <c r="F43" s="854"/>
      <c r="G43" s="854"/>
      <c r="H43" s="855"/>
    </row>
    <row r="44" spans="1:8" ht="12" customHeight="1" thickBot="1">
      <c r="A44" s="387" t="s">
        <v>6</v>
      </c>
      <c r="B44" s="218" t="s">
        <v>527</v>
      </c>
      <c r="C44" s="265">
        <f aca="true" t="shared" si="7" ref="C44:H44">SUM(C45:C49)</f>
        <v>471796367</v>
      </c>
      <c r="D44" s="265">
        <f t="shared" si="7"/>
        <v>494616308</v>
      </c>
      <c r="E44" s="394">
        <f t="shared" si="7"/>
        <v>456256489</v>
      </c>
      <c r="F44" s="394">
        <f t="shared" si="7"/>
        <v>448516294</v>
      </c>
      <c r="G44" s="394">
        <f t="shared" si="7"/>
        <v>10799894</v>
      </c>
      <c r="H44" s="394">
        <f t="shared" si="7"/>
        <v>0</v>
      </c>
    </row>
    <row r="45" spans="1:8" ht="12" customHeight="1">
      <c r="A45" s="398" t="s">
        <v>66</v>
      </c>
      <c r="B45" s="210" t="s">
        <v>36</v>
      </c>
      <c r="C45" s="96">
        <v>244744626</v>
      </c>
      <c r="D45" s="96">
        <v>252806300</v>
      </c>
      <c r="E45" s="381">
        <v>233904261</v>
      </c>
      <c r="F45" s="381">
        <f>E45-G45</f>
        <v>226164066</v>
      </c>
      <c r="G45" s="381">
        <v>7740195</v>
      </c>
      <c r="H45" s="381"/>
    </row>
    <row r="46" spans="1:8" ht="12" customHeight="1">
      <c r="A46" s="398" t="s">
        <v>67</v>
      </c>
      <c r="B46" s="209" t="s">
        <v>127</v>
      </c>
      <c r="C46" s="259">
        <v>49220741</v>
      </c>
      <c r="D46" s="259">
        <v>52246138</v>
      </c>
      <c r="E46" s="403">
        <v>48952060</v>
      </c>
      <c r="F46" s="403">
        <v>48952060</v>
      </c>
      <c r="G46" s="403">
        <v>3059699</v>
      </c>
      <c r="H46" s="403"/>
    </row>
    <row r="47" spans="1:8" ht="12" customHeight="1">
      <c r="A47" s="398" t="s">
        <v>68</v>
      </c>
      <c r="B47" s="209" t="s">
        <v>95</v>
      </c>
      <c r="C47" s="259">
        <v>177831000</v>
      </c>
      <c r="D47" s="259">
        <v>189563870</v>
      </c>
      <c r="E47" s="403">
        <v>173400168</v>
      </c>
      <c r="F47" s="403">
        <v>173400168</v>
      </c>
      <c r="G47" s="403"/>
      <c r="H47" s="403"/>
    </row>
    <row r="48" spans="1:8" s="196" customFormat="1" ht="12" customHeight="1">
      <c r="A48" s="398" t="s">
        <v>69</v>
      </c>
      <c r="B48" s="209" t="s">
        <v>128</v>
      </c>
      <c r="C48" s="259"/>
      <c r="D48" s="259"/>
      <c r="E48" s="403"/>
      <c r="F48" s="403"/>
      <c r="G48" s="403"/>
      <c r="H48" s="403"/>
    </row>
    <row r="49" spans="1:8" ht="12" customHeight="1" thickBot="1">
      <c r="A49" s="398" t="s">
        <v>101</v>
      </c>
      <c r="B49" s="209" t="s">
        <v>129</v>
      </c>
      <c r="C49" s="259"/>
      <c r="D49" s="259"/>
      <c r="E49" s="403"/>
      <c r="F49" s="403"/>
      <c r="G49" s="403"/>
      <c r="H49" s="403"/>
    </row>
    <row r="50" spans="1:8" ht="12" customHeight="1" thickBot="1">
      <c r="A50" s="387" t="s">
        <v>7</v>
      </c>
      <c r="B50" s="218" t="s">
        <v>528</v>
      </c>
      <c r="C50" s="265">
        <f aca="true" t="shared" si="8" ref="C50:H50">SUM(C51:C53)</f>
        <v>6975000</v>
      </c>
      <c r="D50" s="265">
        <f t="shared" si="8"/>
        <v>17059421</v>
      </c>
      <c r="E50" s="394">
        <f t="shared" si="8"/>
        <v>17059421</v>
      </c>
      <c r="F50" s="394">
        <f t="shared" si="8"/>
        <v>17059421</v>
      </c>
      <c r="G50" s="394">
        <f t="shared" si="8"/>
        <v>0</v>
      </c>
      <c r="H50" s="394">
        <f t="shared" si="8"/>
        <v>0</v>
      </c>
    </row>
    <row r="51" spans="1:8" ht="12" customHeight="1">
      <c r="A51" s="398" t="s">
        <v>72</v>
      </c>
      <c r="B51" s="210" t="s">
        <v>150</v>
      </c>
      <c r="C51" s="96">
        <v>6975000</v>
      </c>
      <c r="D51" s="96">
        <v>16848561</v>
      </c>
      <c r="E51" s="381">
        <v>16848561</v>
      </c>
      <c r="F51" s="381">
        <v>16848561</v>
      </c>
      <c r="G51" s="381"/>
      <c r="H51" s="381"/>
    </row>
    <row r="52" spans="1:8" ht="12" customHeight="1">
      <c r="A52" s="398" t="s">
        <v>73</v>
      </c>
      <c r="B52" s="209" t="s">
        <v>131</v>
      </c>
      <c r="C52" s="259"/>
      <c r="D52" s="259">
        <v>210860</v>
      </c>
      <c r="E52" s="403">
        <v>210860</v>
      </c>
      <c r="F52" s="403">
        <v>210860</v>
      </c>
      <c r="G52" s="403"/>
      <c r="H52" s="403"/>
    </row>
    <row r="53" spans="1:8" ht="15" customHeight="1">
      <c r="A53" s="398" t="s">
        <v>74</v>
      </c>
      <c r="B53" s="209" t="s">
        <v>43</v>
      </c>
      <c r="C53" s="259"/>
      <c r="D53" s="259"/>
      <c r="E53" s="403"/>
      <c r="F53" s="403"/>
      <c r="G53" s="403"/>
      <c r="H53" s="403"/>
    </row>
    <row r="54" spans="1:8" ht="13.5" thickBot="1">
      <c r="A54" s="398" t="s">
        <v>75</v>
      </c>
      <c r="B54" s="209" t="s">
        <v>623</v>
      </c>
      <c r="C54" s="259"/>
      <c r="D54" s="259"/>
      <c r="E54" s="403"/>
      <c r="F54" s="403"/>
      <c r="G54" s="403"/>
      <c r="H54" s="403"/>
    </row>
    <row r="55" spans="1:8" ht="15" customHeight="1" thickBot="1">
      <c r="A55" s="387" t="s">
        <v>8</v>
      </c>
      <c r="B55" s="391" t="s">
        <v>529</v>
      </c>
      <c r="C55" s="102">
        <f aca="true" t="shared" si="9" ref="C55:H55">+C44+C50</f>
        <v>478771367</v>
      </c>
      <c r="D55" s="102">
        <f t="shared" si="9"/>
        <v>511675729</v>
      </c>
      <c r="E55" s="395">
        <f t="shared" si="9"/>
        <v>473315910</v>
      </c>
      <c r="F55" s="395">
        <f t="shared" si="9"/>
        <v>465575715</v>
      </c>
      <c r="G55" s="395">
        <f t="shared" si="9"/>
        <v>10799894</v>
      </c>
      <c r="H55" s="395">
        <f t="shared" si="9"/>
        <v>0</v>
      </c>
    </row>
    <row r="56" spans="3:5" ht="13.5" thickBot="1">
      <c r="C56" s="396"/>
      <c r="D56" s="396"/>
      <c r="E56" s="396"/>
    </row>
    <row r="57" spans="1:8" ht="13.5" thickBot="1">
      <c r="A57" s="342" t="s">
        <v>616</v>
      </c>
      <c r="B57" s="343"/>
      <c r="C57" s="106">
        <v>80</v>
      </c>
      <c r="D57" s="106">
        <v>80</v>
      </c>
      <c r="E57" s="385">
        <v>80</v>
      </c>
      <c r="F57" s="385"/>
      <c r="G57" s="385"/>
      <c r="H57" s="385"/>
    </row>
    <row r="58" spans="1:8" ht="13.5" thickBot="1">
      <c r="A58" s="342" t="s">
        <v>143</v>
      </c>
      <c r="B58" s="343"/>
      <c r="C58" s="106">
        <v>60</v>
      </c>
      <c r="D58" s="106">
        <v>60</v>
      </c>
      <c r="E58" s="385">
        <v>60</v>
      </c>
      <c r="F58" s="385"/>
      <c r="G58" s="385"/>
      <c r="H58" s="385"/>
    </row>
  </sheetData>
  <sheetProtection formatCells="0"/>
  <mergeCells count="5">
    <mergeCell ref="A1:H1"/>
    <mergeCell ref="A7:H7"/>
    <mergeCell ref="B2:H2"/>
    <mergeCell ref="B3:H3"/>
    <mergeCell ref="A43:H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58"/>
  <sheetViews>
    <sheetView zoomScaleSheetLayoutView="145" workbookViewId="0" topLeftCell="A1">
      <selection activeCell="A1" sqref="A1:H60"/>
    </sheetView>
  </sheetViews>
  <sheetFormatPr defaultColWidth="9.375" defaultRowHeight="12.75"/>
  <cols>
    <col min="1" max="1" width="18.625" style="392" customWidth="1"/>
    <col min="2" max="2" width="62.00390625" style="31" customWidth="1"/>
    <col min="3" max="5" width="15.75390625" style="31" customWidth="1"/>
    <col min="6" max="6" width="12.625" style="31" customWidth="1"/>
    <col min="7" max="7" width="11.625" style="31" customWidth="1"/>
    <col min="8" max="8" width="11.75390625" style="31" customWidth="1"/>
    <col min="9" max="16384" width="9.375" style="31" customWidth="1"/>
  </cols>
  <sheetData>
    <row r="1" spans="1:8" s="334" customFormat="1" ht="21" customHeight="1" thickBot="1">
      <c r="A1" s="856" t="str">
        <f>+CONCATENATE("10. melléklet a 4/",LEFT(ÖSSZEFÜGGÉSEK!A4,4)+1,". (V.30.) önkormányzati rendelethez")</f>
        <v>10. melléklet a 4/2018. (V.30.) önkormányzati rendelethez</v>
      </c>
      <c r="B1" s="856"/>
      <c r="C1" s="856"/>
      <c r="D1" s="856"/>
      <c r="E1" s="856"/>
      <c r="F1" s="856"/>
      <c r="G1" s="856"/>
      <c r="H1" s="856"/>
    </row>
    <row r="2" spans="1:8" s="374" customFormat="1" ht="25.5" customHeight="1">
      <c r="A2" s="357" t="s">
        <v>141</v>
      </c>
      <c r="B2" s="857" t="s">
        <v>858</v>
      </c>
      <c r="C2" s="858"/>
      <c r="D2" s="858"/>
      <c r="E2" s="858"/>
      <c r="F2" s="858"/>
      <c r="G2" s="858"/>
      <c r="H2" s="859"/>
    </row>
    <row r="3" spans="1:8" s="374" customFormat="1" ht="15.75" thickBot="1">
      <c r="A3" s="373" t="s">
        <v>140</v>
      </c>
      <c r="B3" s="860" t="s">
        <v>504</v>
      </c>
      <c r="C3" s="861"/>
      <c r="D3" s="861"/>
      <c r="E3" s="861"/>
      <c r="F3" s="861"/>
      <c r="G3" s="861"/>
      <c r="H3" s="862"/>
    </row>
    <row r="4" spans="1:8" s="375" customFormat="1" ht="15.75" customHeight="1" thickBot="1">
      <c r="A4" s="335"/>
      <c r="B4" s="335"/>
      <c r="C4" s="336"/>
      <c r="D4" s="336"/>
      <c r="E4" s="336"/>
      <c r="F4" s="336"/>
      <c r="G4" s="336"/>
      <c r="H4" s="336" t="s">
        <v>696</v>
      </c>
    </row>
    <row r="5" spans="1:8" ht="23.25" thickBot="1">
      <c r="A5" s="206" t="s">
        <v>142</v>
      </c>
      <c r="B5" s="207" t="s">
        <v>40</v>
      </c>
      <c r="C5" s="93" t="s">
        <v>172</v>
      </c>
      <c r="D5" s="93" t="s">
        <v>176</v>
      </c>
      <c r="E5" s="337" t="s">
        <v>177</v>
      </c>
      <c r="F5" s="337" t="s">
        <v>972</v>
      </c>
      <c r="G5" s="337" t="s">
        <v>973</v>
      </c>
      <c r="H5" s="337" t="s">
        <v>974</v>
      </c>
    </row>
    <row r="6" spans="1:8" s="376" customFormat="1" ht="12.75" customHeight="1" thickBot="1">
      <c r="A6" s="332" t="s">
        <v>373</v>
      </c>
      <c r="B6" s="333" t="s">
        <v>374</v>
      </c>
      <c r="C6" s="333" t="s">
        <v>375</v>
      </c>
      <c r="D6" s="105" t="s">
        <v>376</v>
      </c>
      <c r="E6" s="103" t="s">
        <v>377</v>
      </c>
      <c r="F6" s="103" t="s">
        <v>453</v>
      </c>
      <c r="G6" s="103" t="s">
        <v>454</v>
      </c>
      <c r="H6" s="103" t="s">
        <v>455</v>
      </c>
    </row>
    <row r="7" spans="1:5" s="376" customFormat="1" ht="15.75" customHeight="1" thickBot="1">
      <c r="A7" s="865" t="s">
        <v>41</v>
      </c>
      <c r="B7" s="866"/>
      <c r="C7" s="866"/>
      <c r="D7" s="866"/>
      <c r="E7" s="867"/>
    </row>
    <row r="8" spans="1:8" s="353" customFormat="1" ht="12" customHeight="1" thickBot="1">
      <c r="A8" s="332" t="s">
        <v>6</v>
      </c>
      <c r="B8" s="388" t="s">
        <v>510</v>
      </c>
      <c r="C8" s="265">
        <f aca="true" t="shared" si="0" ref="C8:H8">SUM(C9:C18)</f>
        <v>14194000</v>
      </c>
      <c r="D8" s="410">
        <f t="shared" si="0"/>
        <v>15177020</v>
      </c>
      <c r="E8" s="394">
        <f t="shared" si="0"/>
        <v>14855430</v>
      </c>
      <c r="F8" s="394">
        <f t="shared" si="0"/>
        <v>14855430</v>
      </c>
      <c r="G8" s="394">
        <f t="shared" si="0"/>
        <v>0</v>
      </c>
      <c r="H8" s="394">
        <f t="shared" si="0"/>
        <v>0</v>
      </c>
    </row>
    <row r="9" spans="1:8" s="353" customFormat="1" ht="12" customHeight="1">
      <c r="A9" s="397" t="s">
        <v>66</v>
      </c>
      <c r="B9" s="211" t="s">
        <v>292</v>
      </c>
      <c r="C9" s="99"/>
      <c r="D9" s="411"/>
      <c r="E9" s="383"/>
      <c r="F9" s="383"/>
      <c r="G9" s="383"/>
      <c r="H9" s="383"/>
    </row>
    <row r="10" spans="1:8" s="353" customFormat="1" ht="12" customHeight="1">
      <c r="A10" s="398" t="s">
        <v>67</v>
      </c>
      <c r="B10" s="209" t="s">
        <v>293</v>
      </c>
      <c r="C10" s="262">
        <v>13786000</v>
      </c>
      <c r="D10" s="412">
        <v>14903255</v>
      </c>
      <c r="E10" s="108">
        <v>14583255</v>
      </c>
      <c r="F10" s="108">
        <v>14583255</v>
      </c>
      <c r="G10" s="108"/>
      <c r="H10" s="108"/>
    </row>
    <row r="11" spans="1:8" s="353" customFormat="1" ht="12" customHeight="1">
      <c r="A11" s="398" t="s">
        <v>68</v>
      </c>
      <c r="B11" s="209" t="s">
        <v>294</v>
      </c>
      <c r="C11" s="262"/>
      <c r="D11" s="412"/>
      <c r="E11" s="108"/>
      <c r="F11" s="108"/>
      <c r="G11" s="108"/>
      <c r="H11" s="108"/>
    </row>
    <row r="12" spans="1:8" s="353" customFormat="1" ht="12" customHeight="1">
      <c r="A12" s="398" t="s">
        <v>69</v>
      </c>
      <c r="B12" s="209" t="s">
        <v>295</v>
      </c>
      <c r="C12" s="262"/>
      <c r="D12" s="412"/>
      <c r="E12" s="108"/>
      <c r="F12" s="108"/>
      <c r="G12" s="108"/>
      <c r="H12" s="108"/>
    </row>
    <row r="13" spans="1:8" s="353" customFormat="1" ht="12" customHeight="1">
      <c r="A13" s="398" t="s">
        <v>101</v>
      </c>
      <c r="B13" s="209" t="s">
        <v>296</v>
      </c>
      <c r="C13" s="262"/>
      <c r="D13" s="412"/>
      <c r="E13" s="108"/>
      <c r="F13" s="108"/>
      <c r="G13" s="108"/>
      <c r="H13" s="108"/>
    </row>
    <row r="14" spans="1:8" s="353" customFormat="1" ht="12" customHeight="1">
      <c r="A14" s="398" t="s">
        <v>70</v>
      </c>
      <c r="B14" s="209" t="s">
        <v>511</v>
      </c>
      <c r="C14" s="262">
        <v>400000</v>
      </c>
      <c r="D14" s="412">
        <v>266945</v>
      </c>
      <c r="E14" s="108">
        <v>266945</v>
      </c>
      <c r="F14" s="108">
        <v>266945</v>
      </c>
      <c r="G14" s="108"/>
      <c r="H14" s="108"/>
    </row>
    <row r="15" spans="1:8" s="377" customFormat="1" ht="12" customHeight="1">
      <c r="A15" s="398" t="s">
        <v>71</v>
      </c>
      <c r="B15" s="208" t="s">
        <v>512</v>
      </c>
      <c r="C15" s="262"/>
      <c r="D15" s="412"/>
      <c r="E15" s="108"/>
      <c r="F15" s="108"/>
      <c r="G15" s="108"/>
      <c r="H15" s="108"/>
    </row>
    <row r="16" spans="1:8" s="377" customFormat="1" ht="12" customHeight="1">
      <c r="A16" s="398" t="s">
        <v>79</v>
      </c>
      <c r="B16" s="209" t="s">
        <v>299</v>
      </c>
      <c r="C16" s="100">
        <v>8000</v>
      </c>
      <c r="D16" s="413">
        <v>820</v>
      </c>
      <c r="E16" s="382">
        <v>64</v>
      </c>
      <c r="F16" s="382">
        <v>64</v>
      </c>
      <c r="G16" s="382"/>
      <c r="H16" s="382"/>
    </row>
    <row r="17" spans="1:8" s="353" customFormat="1" ht="12" customHeight="1">
      <c r="A17" s="398" t="s">
        <v>80</v>
      </c>
      <c r="B17" s="209" t="s">
        <v>301</v>
      </c>
      <c r="C17" s="262"/>
      <c r="D17" s="412"/>
      <c r="E17" s="108"/>
      <c r="F17" s="108"/>
      <c r="G17" s="108"/>
      <c r="H17" s="108"/>
    </row>
    <row r="18" spans="1:8" s="377" customFormat="1" ht="12" customHeight="1" thickBot="1">
      <c r="A18" s="398" t="s">
        <v>81</v>
      </c>
      <c r="B18" s="208" t="s">
        <v>303</v>
      </c>
      <c r="C18" s="264"/>
      <c r="D18" s="109">
        <v>6000</v>
      </c>
      <c r="E18" s="378">
        <v>5166</v>
      </c>
      <c r="F18" s="378">
        <v>5166</v>
      </c>
      <c r="G18" s="378"/>
      <c r="H18" s="378"/>
    </row>
    <row r="19" spans="1:8" s="377" customFormat="1" ht="12" customHeight="1" thickBot="1">
      <c r="A19" s="332" t="s">
        <v>7</v>
      </c>
      <c r="B19" s="388" t="s">
        <v>513</v>
      </c>
      <c r="C19" s="265">
        <f aca="true" t="shared" si="1" ref="C19:H19">SUM(C20:C22)</f>
        <v>5325000</v>
      </c>
      <c r="D19" s="410">
        <f t="shared" si="1"/>
        <v>4586980</v>
      </c>
      <c r="E19" s="394">
        <f t="shared" si="1"/>
        <v>3313505</v>
      </c>
      <c r="F19" s="394">
        <f t="shared" si="1"/>
        <v>3313506</v>
      </c>
      <c r="G19" s="394">
        <f t="shared" si="1"/>
        <v>0</v>
      </c>
      <c r="H19" s="394">
        <f t="shared" si="1"/>
        <v>0</v>
      </c>
    </row>
    <row r="20" spans="1:8" s="377" customFormat="1" ht="12" customHeight="1">
      <c r="A20" s="398" t="s">
        <v>72</v>
      </c>
      <c r="B20" s="210" t="s">
        <v>271</v>
      </c>
      <c r="C20" s="262"/>
      <c r="D20" s="412"/>
      <c r="E20" s="108"/>
      <c r="F20" s="108"/>
      <c r="G20" s="108"/>
      <c r="H20" s="108"/>
    </row>
    <row r="21" spans="1:8" s="377" customFormat="1" ht="12" customHeight="1">
      <c r="A21" s="398" t="s">
        <v>73</v>
      </c>
      <c r="B21" s="209" t="s">
        <v>514</v>
      </c>
      <c r="C21" s="262"/>
      <c r="D21" s="412"/>
      <c r="E21" s="108"/>
      <c r="F21" s="108"/>
      <c r="G21" s="108"/>
      <c r="H21" s="108"/>
    </row>
    <row r="22" spans="1:8" s="377" customFormat="1" ht="12" customHeight="1">
      <c r="A22" s="398" t="s">
        <v>74</v>
      </c>
      <c r="B22" s="209" t="s">
        <v>515</v>
      </c>
      <c r="C22" s="262">
        <v>5325000</v>
      </c>
      <c r="D22" s="412">
        <v>4586980</v>
      </c>
      <c r="E22" s="108">
        <v>3313505</v>
      </c>
      <c r="F22" s="108">
        <v>3313506</v>
      </c>
      <c r="G22" s="108"/>
      <c r="H22" s="108"/>
    </row>
    <row r="23" spans="1:8" s="353" customFormat="1" ht="12" customHeight="1" thickBot="1">
      <c r="A23" s="398" t="s">
        <v>75</v>
      </c>
      <c r="B23" s="209" t="s">
        <v>621</v>
      </c>
      <c r="C23" s="262"/>
      <c r="D23" s="412"/>
      <c r="E23" s="108"/>
      <c r="F23" s="108"/>
      <c r="G23" s="108"/>
      <c r="H23" s="108"/>
    </row>
    <row r="24" spans="1:8" s="353" customFormat="1" ht="12" customHeight="1" thickBot="1">
      <c r="A24" s="387" t="s">
        <v>8</v>
      </c>
      <c r="B24" s="218" t="s">
        <v>118</v>
      </c>
      <c r="C24" s="40"/>
      <c r="D24" s="414"/>
      <c r="E24" s="393"/>
      <c r="F24" s="393"/>
      <c r="G24" s="393"/>
      <c r="H24" s="393"/>
    </row>
    <row r="25" spans="1:8" s="353" customFormat="1" ht="12" customHeight="1" thickBot="1">
      <c r="A25" s="387" t="s">
        <v>9</v>
      </c>
      <c r="B25" s="218" t="s">
        <v>516</v>
      </c>
      <c r="C25" s="265">
        <f aca="true" t="shared" si="2" ref="C25:H25">+C26+C27</f>
        <v>0</v>
      </c>
      <c r="D25" s="410">
        <f t="shared" si="2"/>
        <v>0</v>
      </c>
      <c r="E25" s="394">
        <f t="shared" si="2"/>
        <v>0</v>
      </c>
      <c r="F25" s="394">
        <f t="shared" si="2"/>
        <v>0</v>
      </c>
      <c r="G25" s="394">
        <f t="shared" si="2"/>
        <v>0</v>
      </c>
      <c r="H25" s="394">
        <f t="shared" si="2"/>
        <v>0</v>
      </c>
    </row>
    <row r="26" spans="1:8" s="353" customFormat="1" ht="12" customHeight="1">
      <c r="A26" s="399" t="s">
        <v>285</v>
      </c>
      <c r="B26" s="400" t="s">
        <v>514</v>
      </c>
      <c r="C26" s="96"/>
      <c r="D26" s="405"/>
      <c r="E26" s="381"/>
      <c r="F26" s="381"/>
      <c r="G26" s="381"/>
      <c r="H26" s="381"/>
    </row>
    <row r="27" spans="1:8" s="353" customFormat="1" ht="12" customHeight="1">
      <c r="A27" s="399" t="s">
        <v>287</v>
      </c>
      <c r="B27" s="401" t="s">
        <v>517</v>
      </c>
      <c r="C27" s="266"/>
      <c r="D27" s="415"/>
      <c r="E27" s="380"/>
      <c r="F27" s="380"/>
      <c r="G27" s="380"/>
      <c r="H27" s="380"/>
    </row>
    <row r="28" spans="1:8" s="353" customFormat="1" ht="12" customHeight="1" thickBot="1">
      <c r="A28" s="398" t="s">
        <v>288</v>
      </c>
      <c r="B28" s="402" t="s">
        <v>622</v>
      </c>
      <c r="C28" s="384"/>
      <c r="D28" s="416"/>
      <c r="E28" s="379"/>
      <c r="F28" s="379"/>
      <c r="G28" s="379"/>
      <c r="H28" s="379"/>
    </row>
    <row r="29" spans="1:8" s="353" customFormat="1" ht="12" customHeight="1" thickBot="1">
      <c r="A29" s="387" t="s">
        <v>10</v>
      </c>
      <c r="B29" s="218" t="s">
        <v>518</v>
      </c>
      <c r="C29" s="265">
        <f aca="true" t="shared" si="3" ref="C29:H29">+C30+C31+C32</f>
        <v>0</v>
      </c>
      <c r="D29" s="410">
        <f t="shared" si="3"/>
        <v>0</v>
      </c>
      <c r="E29" s="394">
        <f t="shared" si="3"/>
        <v>0</v>
      </c>
      <c r="F29" s="394">
        <f t="shared" si="3"/>
        <v>0</v>
      </c>
      <c r="G29" s="394">
        <f t="shared" si="3"/>
        <v>0</v>
      </c>
      <c r="H29" s="394">
        <f t="shared" si="3"/>
        <v>0</v>
      </c>
    </row>
    <row r="30" spans="1:8" s="353" customFormat="1" ht="12" customHeight="1">
      <c r="A30" s="399" t="s">
        <v>59</v>
      </c>
      <c r="B30" s="400" t="s">
        <v>305</v>
      </c>
      <c r="C30" s="96"/>
      <c r="D30" s="405"/>
      <c r="E30" s="381"/>
      <c r="F30" s="381"/>
      <c r="G30" s="381"/>
      <c r="H30" s="381"/>
    </row>
    <row r="31" spans="1:8" s="353" customFormat="1" ht="12" customHeight="1">
      <c r="A31" s="399" t="s">
        <v>60</v>
      </c>
      <c r="B31" s="401" t="s">
        <v>306</v>
      </c>
      <c r="C31" s="266"/>
      <c r="D31" s="415"/>
      <c r="E31" s="380"/>
      <c r="F31" s="380"/>
      <c r="G31" s="380"/>
      <c r="H31" s="380"/>
    </row>
    <row r="32" spans="1:8" s="353" customFormat="1" ht="12" customHeight="1" thickBot="1">
      <c r="A32" s="398" t="s">
        <v>61</v>
      </c>
      <c r="B32" s="386" t="s">
        <v>308</v>
      </c>
      <c r="C32" s="384"/>
      <c r="D32" s="416"/>
      <c r="E32" s="379"/>
      <c r="F32" s="379"/>
      <c r="G32" s="379"/>
      <c r="H32" s="379"/>
    </row>
    <row r="33" spans="1:8" s="353" customFormat="1" ht="12" customHeight="1" thickBot="1">
      <c r="A33" s="387" t="s">
        <v>11</v>
      </c>
      <c r="B33" s="218" t="s">
        <v>432</v>
      </c>
      <c r="C33" s="40"/>
      <c r="D33" s="414"/>
      <c r="E33" s="393"/>
      <c r="F33" s="393"/>
      <c r="G33" s="393"/>
      <c r="H33" s="393"/>
    </row>
    <row r="34" spans="1:8" s="353" customFormat="1" ht="12" customHeight="1" thickBot="1">
      <c r="A34" s="387" t="s">
        <v>12</v>
      </c>
      <c r="B34" s="218" t="s">
        <v>519</v>
      </c>
      <c r="C34" s="40"/>
      <c r="D34" s="414"/>
      <c r="E34" s="393"/>
      <c r="F34" s="393"/>
      <c r="G34" s="393"/>
      <c r="H34" s="393"/>
    </row>
    <row r="35" spans="1:8" s="353" customFormat="1" ht="12" customHeight="1" thickBot="1">
      <c r="A35" s="332" t="s">
        <v>13</v>
      </c>
      <c r="B35" s="218" t="s">
        <v>520</v>
      </c>
      <c r="C35" s="265">
        <f aca="true" t="shared" si="4" ref="C35:H35">+C8+C19+C24+C25+C29+C33+C34</f>
        <v>19519000</v>
      </c>
      <c r="D35" s="410">
        <f t="shared" si="4"/>
        <v>19764000</v>
      </c>
      <c r="E35" s="394">
        <f t="shared" si="4"/>
        <v>18168935</v>
      </c>
      <c r="F35" s="394">
        <f t="shared" si="4"/>
        <v>18168936</v>
      </c>
      <c r="G35" s="394">
        <f t="shared" si="4"/>
        <v>0</v>
      </c>
      <c r="H35" s="394">
        <f t="shared" si="4"/>
        <v>0</v>
      </c>
    </row>
    <row r="36" spans="1:8" s="377" customFormat="1" ht="12" customHeight="1" thickBot="1">
      <c r="A36" s="389" t="s">
        <v>14</v>
      </c>
      <c r="B36" s="218" t="s">
        <v>521</v>
      </c>
      <c r="C36" s="265">
        <f aca="true" t="shared" si="5" ref="C36:H36">+C37+C38+C39</f>
        <v>48558267</v>
      </c>
      <c r="D36" s="410">
        <f t="shared" si="5"/>
        <v>54739689</v>
      </c>
      <c r="E36" s="394">
        <f t="shared" si="5"/>
        <v>51808870</v>
      </c>
      <c r="F36" s="394">
        <f t="shared" si="5"/>
        <v>50294566</v>
      </c>
      <c r="G36" s="394">
        <f t="shared" si="5"/>
        <v>1514304</v>
      </c>
      <c r="H36" s="394">
        <f t="shared" si="5"/>
        <v>0</v>
      </c>
    </row>
    <row r="37" spans="1:8" s="377" customFormat="1" ht="15" customHeight="1">
      <c r="A37" s="399" t="s">
        <v>522</v>
      </c>
      <c r="B37" s="400" t="s">
        <v>159</v>
      </c>
      <c r="C37" s="96"/>
      <c r="D37" s="405">
        <v>2246645</v>
      </c>
      <c r="E37" s="381">
        <v>2246645</v>
      </c>
      <c r="F37" s="381">
        <v>2246645</v>
      </c>
      <c r="G37" s="381"/>
      <c r="H37" s="381"/>
    </row>
    <row r="38" spans="1:8" s="377" customFormat="1" ht="15" customHeight="1">
      <c r="A38" s="399" t="s">
        <v>523</v>
      </c>
      <c r="B38" s="401" t="s">
        <v>2</v>
      </c>
      <c r="C38" s="266"/>
      <c r="D38" s="415"/>
      <c r="E38" s="380"/>
      <c r="F38" s="380"/>
      <c r="G38" s="380"/>
      <c r="H38" s="380"/>
    </row>
    <row r="39" spans="1:8" ht="13.5" thickBot="1">
      <c r="A39" s="398" t="s">
        <v>524</v>
      </c>
      <c r="B39" s="386" t="s">
        <v>525</v>
      </c>
      <c r="C39" s="384">
        <v>48558267</v>
      </c>
      <c r="D39" s="416">
        <v>52493044</v>
      </c>
      <c r="E39" s="379">
        <v>49562225</v>
      </c>
      <c r="F39" s="379">
        <f>E39-G39</f>
        <v>48047921</v>
      </c>
      <c r="G39" s="379">
        <v>1514304</v>
      </c>
      <c r="H39" s="379"/>
    </row>
    <row r="40" spans="1:8" s="376" customFormat="1" ht="16.5" customHeight="1" thickBot="1">
      <c r="A40" s="389" t="s">
        <v>15</v>
      </c>
      <c r="B40" s="390" t="s">
        <v>526</v>
      </c>
      <c r="C40" s="102">
        <f aca="true" t="shared" si="6" ref="C40:H40">+C35+C36</f>
        <v>68077267</v>
      </c>
      <c r="D40" s="417">
        <f t="shared" si="6"/>
        <v>74503689</v>
      </c>
      <c r="E40" s="395">
        <f t="shared" si="6"/>
        <v>69977805</v>
      </c>
      <c r="F40" s="395">
        <f t="shared" si="6"/>
        <v>68463502</v>
      </c>
      <c r="G40" s="395">
        <f t="shared" si="6"/>
        <v>1514304</v>
      </c>
      <c r="H40" s="395">
        <f t="shared" si="6"/>
        <v>0</v>
      </c>
    </row>
    <row r="41" spans="1:5" s="196" customFormat="1" ht="12" customHeight="1">
      <c r="A41" s="338"/>
      <c r="B41" s="339"/>
      <c r="C41" s="351"/>
      <c r="D41" s="351"/>
      <c r="E41" s="351"/>
    </row>
    <row r="42" spans="1:5" ht="12" customHeight="1" thickBot="1">
      <c r="A42" s="340"/>
      <c r="B42" s="341"/>
      <c r="C42" s="352"/>
      <c r="D42" s="352"/>
      <c r="E42" s="352"/>
    </row>
    <row r="43" spans="1:8" ht="12" customHeight="1" thickBot="1">
      <c r="A43" s="865" t="s">
        <v>42</v>
      </c>
      <c r="B43" s="866"/>
      <c r="C43" s="866"/>
      <c r="D43" s="866"/>
      <c r="E43" s="866"/>
      <c r="F43" s="866"/>
      <c r="G43" s="866"/>
      <c r="H43" s="867"/>
    </row>
    <row r="44" spans="1:8" ht="12" customHeight="1" thickBot="1">
      <c r="A44" s="752" t="s">
        <v>6</v>
      </c>
      <c r="B44" s="753" t="s">
        <v>527</v>
      </c>
      <c r="C44" s="754">
        <f aca="true" t="shared" si="7" ref="C44:H44">SUM(C45:C49)</f>
        <v>67277267</v>
      </c>
      <c r="D44" s="754">
        <f t="shared" si="7"/>
        <v>73679111</v>
      </c>
      <c r="E44" s="755">
        <f t="shared" si="7"/>
        <v>66146347</v>
      </c>
      <c r="F44" s="755">
        <f t="shared" si="7"/>
        <v>65223847</v>
      </c>
      <c r="G44" s="755">
        <f t="shared" si="7"/>
        <v>1514307</v>
      </c>
      <c r="H44" s="755">
        <f t="shared" si="7"/>
        <v>0</v>
      </c>
    </row>
    <row r="45" spans="1:8" ht="12" customHeight="1">
      <c r="A45" s="398" t="s">
        <v>66</v>
      </c>
      <c r="B45" s="210" t="s">
        <v>36</v>
      </c>
      <c r="C45" s="96">
        <v>33027267</v>
      </c>
      <c r="D45" s="96">
        <v>35277591</v>
      </c>
      <c r="E45" s="381">
        <v>31629778</v>
      </c>
      <c r="F45" s="381">
        <f>E45-G45</f>
        <v>30707278</v>
      </c>
      <c r="G45" s="381">
        <v>922500</v>
      </c>
      <c r="H45" s="381"/>
    </row>
    <row r="46" spans="1:8" ht="12" customHeight="1">
      <c r="A46" s="398" t="s">
        <v>67</v>
      </c>
      <c r="B46" s="209" t="s">
        <v>127</v>
      </c>
      <c r="C46" s="259">
        <v>7113000</v>
      </c>
      <c r="D46" s="259">
        <v>7598964</v>
      </c>
      <c r="E46" s="403">
        <v>6796329</v>
      </c>
      <c r="F46" s="403">
        <v>6796329</v>
      </c>
      <c r="G46" s="381">
        <v>591807</v>
      </c>
      <c r="H46" s="403"/>
    </row>
    <row r="47" spans="1:8" ht="12" customHeight="1">
      <c r="A47" s="398" t="s">
        <v>68</v>
      </c>
      <c r="B47" s="209" t="s">
        <v>95</v>
      </c>
      <c r="C47" s="259">
        <v>27137000</v>
      </c>
      <c r="D47" s="259">
        <v>30802556</v>
      </c>
      <c r="E47" s="403">
        <v>27720240</v>
      </c>
      <c r="F47" s="403">
        <v>27720240</v>
      </c>
      <c r="G47" s="381"/>
      <c r="H47" s="403"/>
    </row>
    <row r="48" spans="1:8" s="196" customFormat="1" ht="12" customHeight="1">
      <c r="A48" s="398" t="s">
        <v>69</v>
      </c>
      <c r="B48" s="209" t="s">
        <v>128</v>
      </c>
      <c r="C48" s="259"/>
      <c r="D48" s="259"/>
      <c r="E48" s="403"/>
      <c r="F48" s="403"/>
      <c r="G48" s="381"/>
      <c r="H48" s="403"/>
    </row>
    <row r="49" spans="1:8" ht="12" customHeight="1" thickBot="1">
      <c r="A49" s="398" t="s">
        <v>101</v>
      </c>
      <c r="B49" s="209" t="s">
        <v>129</v>
      </c>
      <c r="C49" s="259"/>
      <c r="D49" s="259"/>
      <c r="E49" s="403"/>
      <c r="F49" s="403"/>
      <c r="G49" s="381"/>
      <c r="H49" s="403"/>
    </row>
    <row r="50" spans="1:8" ht="12" customHeight="1" thickBot="1">
      <c r="A50" s="387" t="s">
        <v>7</v>
      </c>
      <c r="B50" s="218" t="s">
        <v>528</v>
      </c>
      <c r="C50" s="265">
        <f aca="true" t="shared" si="8" ref="C50:H50">SUM(C51:C53)</f>
        <v>800000</v>
      </c>
      <c r="D50" s="265">
        <f t="shared" si="8"/>
        <v>824578</v>
      </c>
      <c r="E50" s="394">
        <f t="shared" si="8"/>
        <v>824578</v>
      </c>
      <c r="F50" s="394">
        <f t="shared" si="8"/>
        <v>824579</v>
      </c>
      <c r="G50" s="394">
        <f t="shared" si="8"/>
        <v>0</v>
      </c>
      <c r="H50" s="394">
        <f t="shared" si="8"/>
        <v>0</v>
      </c>
    </row>
    <row r="51" spans="1:8" ht="12" customHeight="1">
      <c r="A51" s="398" t="s">
        <v>72</v>
      </c>
      <c r="B51" s="210" t="s">
        <v>150</v>
      </c>
      <c r="C51" s="96">
        <v>800000</v>
      </c>
      <c r="D51" s="96">
        <v>824578</v>
      </c>
      <c r="E51" s="381">
        <v>824578</v>
      </c>
      <c r="F51" s="381">
        <v>824579</v>
      </c>
      <c r="G51" s="381"/>
      <c r="H51" s="381"/>
    </row>
    <row r="52" spans="1:8" ht="12" customHeight="1">
      <c r="A52" s="398" t="s">
        <v>73</v>
      </c>
      <c r="B52" s="209" t="s">
        <v>131</v>
      </c>
      <c r="C52" s="259"/>
      <c r="D52" s="259"/>
      <c r="E52" s="403"/>
      <c r="F52" s="403"/>
      <c r="G52" s="403"/>
      <c r="H52" s="403"/>
    </row>
    <row r="53" spans="1:8" ht="15" customHeight="1">
      <c r="A53" s="398" t="s">
        <v>74</v>
      </c>
      <c r="B53" s="209" t="s">
        <v>43</v>
      </c>
      <c r="C53" s="259"/>
      <c r="D53" s="259"/>
      <c r="E53" s="403"/>
      <c r="F53" s="403"/>
      <c r="G53" s="403"/>
      <c r="H53" s="403"/>
    </row>
    <row r="54" spans="1:8" ht="13.5" thickBot="1">
      <c r="A54" s="398" t="s">
        <v>75</v>
      </c>
      <c r="B54" s="209" t="s">
        <v>623</v>
      </c>
      <c r="C54" s="259"/>
      <c r="D54" s="259"/>
      <c r="E54" s="403"/>
      <c r="F54" s="403"/>
      <c r="G54" s="403"/>
      <c r="H54" s="403"/>
    </row>
    <row r="55" spans="1:8" ht="15" customHeight="1" thickBot="1">
      <c r="A55" s="387" t="s">
        <v>8</v>
      </c>
      <c r="B55" s="391" t="s">
        <v>529</v>
      </c>
      <c r="C55" s="102">
        <f aca="true" t="shared" si="9" ref="C55:H55">+C44+C50</f>
        <v>68077267</v>
      </c>
      <c r="D55" s="102">
        <f t="shared" si="9"/>
        <v>74503689</v>
      </c>
      <c r="E55" s="395">
        <f t="shared" si="9"/>
        <v>66970925</v>
      </c>
      <c r="F55" s="395">
        <f t="shared" si="9"/>
        <v>66048426</v>
      </c>
      <c r="G55" s="395">
        <f t="shared" si="9"/>
        <v>1514307</v>
      </c>
      <c r="H55" s="395">
        <f t="shared" si="9"/>
        <v>0</v>
      </c>
    </row>
    <row r="56" spans="3:5" ht="13.5" thickBot="1">
      <c r="C56" s="396"/>
      <c r="D56" s="396"/>
      <c r="E56" s="396"/>
    </row>
    <row r="57" spans="1:8" ht="13.5" thickBot="1">
      <c r="A57" s="342" t="s">
        <v>616</v>
      </c>
      <c r="B57" s="343"/>
      <c r="C57" s="106">
        <v>10</v>
      </c>
      <c r="D57" s="106">
        <v>10</v>
      </c>
      <c r="E57" s="385">
        <v>10</v>
      </c>
      <c r="F57" s="385"/>
      <c r="G57" s="385"/>
      <c r="H57" s="385"/>
    </row>
    <row r="58" spans="1:8" ht="13.5" thickBot="1">
      <c r="A58" s="342" t="s">
        <v>143</v>
      </c>
      <c r="B58" s="343"/>
      <c r="C58" s="106">
        <v>3</v>
      </c>
      <c r="D58" s="106">
        <v>3</v>
      </c>
      <c r="E58" s="385">
        <v>3</v>
      </c>
      <c r="F58" s="385"/>
      <c r="G58" s="385"/>
      <c r="H58" s="385"/>
    </row>
  </sheetData>
  <sheetProtection formatCells="0"/>
  <mergeCells count="5">
    <mergeCell ref="A7:E7"/>
    <mergeCell ref="B2:H2"/>
    <mergeCell ref="A1:H1"/>
    <mergeCell ref="B3:H3"/>
    <mergeCell ref="A43:H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H58"/>
  <sheetViews>
    <sheetView zoomScaleSheetLayoutView="145" workbookViewId="0" topLeftCell="A1">
      <selection activeCell="A1" sqref="A1:H1"/>
    </sheetView>
  </sheetViews>
  <sheetFormatPr defaultColWidth="9.375" defaultRowHeight="12.75"/>
  <cols>
    <col min="1" max="1" width="18.625" style="392" customWidth="1"/>
    <col min="2" max="2" width="62.00390625" style="31" customWidth="1"/>
    <col min="3" max="5" width="15.75390625" style="31" customWidth="1"/>
    <col min="6" max="6" width="13.00390625" style="31" customWidth="1"/>
    <col min="7" max="7" width="12.50390625" style="31" customWidth="1"/>
    <col min="8" max="8" width="11.50390625" style="31" customWidth="1"/>
    <col min="9" max="16384" width="9.375" style="31" customWidth="1"/>
  </cols>
  <sheetData>
    <row r="1" spans="1:8" s="334" customFormat="1" ht="21" customHeight="1" thickBot="1">
      <c r="A1" s="870" t="str">
        <f>+CONCATENATE("11. melléklet a 4/",LEFT(ÖSSZEFÜGGÉSEK!A4,4)+1,". (V.30.) önkormányzati rendelethez")</f>
        <v>11. melléklet a 4/2018. (V.30.) önkormányzati rendelethez</v>
      </c>
      <c r="B1" s="870"/>
      <c r="C1" s="870"/>
      <c r="D1" s="870"/>
      <c r="E1" s="870"/>
      <c r="F1" s="870"/>
      <c r="G1" s="870"/>
      <c r="H1" s="870"/>
    </row>
    <row r="2" spans="1:8" s="374" customFormat="1" ht="25.5" customHeight="1" thickBot="1">
      <c r="A2" s="357" t="s">
        <v>141</v>
      </c>
      <c r="B2" s="847" t="s">
        <v>859</v>
      </c>
      <c r="C2" s="848"/>
      <c r="D2" s="848"/>
      <c r="E2" s="848"/>
      <c r="F2" s="848"/>
      <c r="G2" s="848"/>
      <c r="H2" s="849"/>
    </row>
    <row r="3" spans="1:8" s="374" customFormat="1" ht="15.75" thickBot="1">
      <c r="A3" s="373" t="s">
        <v>140</v>
      </c>
      <c r="B3" s="850" t="s">
        <v>504</v>
      </c>
      <c r="C3" s="851"/>
      <c r="D3" s="851"/>
      <c r="E3" s="851"/>
      <c r="F3" s="851"/>
      <c r="G3" s="851"/>
      <c r="H3" s="852"/>
    </row>
    <row r="4" spans="1:8" s="375" customFormat="1" ht="15.75" customHeight="1" thickBot="1">
      <c r="A4" s="335"/>
      <c r="B4" s="335"/>
      <c r="C4" s="336"/>
      <c r="D4" s="336"/>
      <c r="E4" s="336"/>
      <c r="F4" s="336"/>
      <c r="G4" s="336"/>
      <c r="H4" s="336" t="s">
        <v>685</v>
      </c>
    </row>
    <row r="5" spans="1:8" ht="23.25" thickBot="1">
      <c r="A5" s="206" t="s">
        <v>142</v>
      </c>
      <c r="B5" s="207" t="s">
        <v>40</v>
      </c>
      <c r="C5" s="93" t="s">
        <v>172</v>
      </c>
      <c r="D5" s="93" t="s">
        <v>176</v>
      </c>
      <c r="E5" s="337" t="s">
        <v>177</v>
      </c>
      <c r="F5" s="337" t="s">
        <v>972</v>
      </c>
      <c r="G5" s="337" t="s">
        <v>973</v>
      </c>
      <c r="H5" s="337" t="s">
        <v>974</v>
      </c>
    </row>
    <row r="6" spans="1:8" s="376" customFormat="1" ht="12.75" customHeight="1" thickBot="1">
      <c r="A6" s="332" t="s">
        <v>373</v>
      </c>
      <c r="B6" s="333" t="s">
        <v>374</v>
      </c>
      <c r="C6" s="333" t="s">
        <v>375</v>
      </c>
      <c r="D6" s="105" t="s">
        <v>376</v>
      </c>
      <c r="E6" s="103" t="s">
        <v>377</v>
      </c>
      <c r="F6" s="103" t="s">
        <v>453</v>
      </c>
      <c r="G6" s="103" t="s">
        <v>454</v>
      </c>
      <c r="H6" s="103" t="s">
        <v>455</v>
      </c>
    </row>
    <row r="7" spans="1:8" s="376" customFormat="1" ht="15.75" customHeight="1" thickBot="1">
      <c r="A7" s="868" t="s">
        <v>41</v>
      </c>
      <c r="B7" s="869"/>
      <c r="C7" s="869"/>
      <c r="D7" s="869"/>
      <c r="E7" s="869"/>
      <c r="F7" s="869"/>
      <c r="G7" s="869"/>
      <c r="H7" s="869"/>
    </row>
    <row r="8" spans="1:8" s="353" customFormat="1" ht="12" customHeight="1" thickBot="1">
      <c r="A8" s="332" t="s">
        <v>6</v>
      </c>
      <c r="B8" s="388" t="s">
        <v>510</v>
      </c>
      <c r="C8" s="265">
        <f aca="true" t="shared" si="0" ref="C8:H8">SUM(C9:C18)</f>
        <v>110000</v>
      </c>
      <c r="D8" s="410">
        <f t="shared" si="0"/>
        <v>110000</v>
      </c>
      <c r="E8" s="394">
        <f t="shared" si="0"/>
        <v>72102</v>
      </c>
      <c r="F8" s="394">
        <f t="shared" si="0"/>
        <v>0</v>
      </c>
      <c r="G8" s="394">
        <f t="shared" si="0"/>
        <v>0</v>
      </c>
      <c r="H8" s="394">
        <f t="shared" si="0"/>
        <v>0</v>
      </c>
    </row>
    <row r="9" spans="1:8" s="353" customFormat="1" ht="12" customHeight="1">
      <c r="A9" s="397" t="s">
        <v>66</v>
      </c>
      <c r="B9" s="211" t="s">
        <v>292</v>
      </c>
      <c r="C9" s="99"/>
      <c r="D9" s="411"/>
      <c r="E9" s="383"/>
      <c r="F9" s="383"/>
      <c r="G9" s="383"/>
      <c r="H9" s="383"/>
    </row>
    <row r="10" spans="1:8" s="353" customFormat="1" ht="12" customHeight="1">
      <c r="A10" s="398" t="s">
        <v>67</v>
      </c>
      <c r="B10" s="209" t="s">
        <v>293</v>
      </c>
      <c r="C10" s="262">
        <v>85000</v>
      </c>
      <c r="D10" s="412">
        <v>80000</v>
      </c>
      <c r="E10" s="108">
        <v>53334</v>
      </c>
      <c r="F10" s="108"/>
      <c r="G10" s="108"/>
      <c r="H10" s="108"/>
    </row>
    <row r="11" spans="1:8" s="353" customFormat="1" ht="12" customHeight="1">
      <c r="A11" s="398" t="s">
        <v>68</v>
      </c>
      <c r="B11" s="209" t="s">
        <v>294</v>
      </c>
      <c r="C11" s="262"/>
      <c r="D11" s="412"/>
      <c r="E11" s="108"/>
      <c r="F11" s="108"/>
      <c r="G11" s="108"/>
      <c r="H11" s="108"/>
    </row>
    <row r="12" spans="1:8" s="353" customFormat="1" ht="12" customHeight="1">
      <c r="A12" s="398" t="s">
        <v>69</v>
      </c>
      <c r="B12" s="209" t="s">
        <v>295</v>
      </c>
      <c r="C12" s="262"/>
      <c r="D12" s="412"/>
      <c r="E12" s="108"/>
      <c r="F12" s="108"/>
      <c r="G12" s="108"/>
      <c r="H12" s="108"/>
    </row>
    <row r="13" spans="1:8" s="353" customFormat="1" ht="12" customHeight="1">
      <c r="A13" s="398" t="s">
        <v>101</v>
      </c>
      <c r="B13" s="209" t="s">
        <v>296</v>
      </c>
      <c r="C13" s="262"/>
      <c r="D13" s="412"/>
      <c r="E13" s="108"/>
      <c r="F13" s="108"/>
      <c r="G13" s="108"/>
      <c r="H13" s="108"/>
    </row>
    <row r="14" spans="1:8" s="353" customFormat="1" ht="12" customHeight="1">
      <c r="A14" s="398" t="s">
        <v>70</v>
      </c>
      <c r="B14" s="209" t="s">
        <v>511</v>
      </c>
      <c r="C14" s="262">
        <v>23000</v>
      </c>
      <c r="D14" s="412">
        <v>23000</v>
      </c>
      <c r="E14" s="108">
        <v>14400</v>
      </c>
      <c r="F14" s="108"/>
      <c r="G14" s="108"/>
      <c r="H14" s="108"/>
    </row>
    <row r="15" spans="1:8" s="377" customFormat="1" ht="12" customHeight="1">
      <c r="A15" s="398" t="s">
        <v>71</v>
      </c>
      <c r="B15" s="208" t="s">
        <v>512</v>
      </c>
      <c r="C15" s="262"/>
      <c r="D15" s="412"/>
      <c r="E15" s="108"/>
      <c r="F15" s="108"/>
      <c r="G15" s="108"/>
      <c r="H15" s="108"/>
    </row>
    <row r="16" spans="1:8" s="377" customFormat="1" ht="12" customHeight="1">
      <c r="A16" s="398" t="s">
        <v>79</v>
      </c>
      <c r="B16" s="209" t="s">
        <v>299</v>
      </c>
      <c r="C16" s="100"/>
      <c r="D16" s="413">
        <v>100</v>
      </c>
      <c r="E16" s="382">
        <v>1</v>
      </c>
      <c r="F16" s="382"/>
      <c r="G16" s="382"/>
      <c r="H16" s="382"/>
    </row>
    <row r="17" spans="1:8" s="353" customFormat="1" ht="12" customHeight="1">
      <c r="A17" s="398" t="s">
        <v>80</v>
      </c>
      <c r="B17" s="209" t="s">
        <v>301</v>
      </c>
      <c r="C17" s="262"/>
      <c r="D17" s="412"/>
      <c r="E17" s="108"/>
      <c r="F17" s="108"/>
      <c r="G17" s="108"/>
      <c r="H17" s="108"/>
    </row>
    <row r="18" spans="1:8" s="377" customFormat="1" ht="12" customHeight="1" thickBot="1">
      <c r="A18" s="398" t="s">
        <v>81</v>
      </c>
      <c r="B18" s="208" t="s">
        <v>303</v>
      </c>
      <c r="C18" s="264">
        <v>2000</v>
      </c>
      <c r="D18" s="109">
        <v>6900</v>
      </c>
      <c r="E18" s="378">
        <v>4367</v>
      </c>
      <c r="F18" s="378"/>
      <c r="G18" s="378"/>
      <c r="H18" s="378"/>
    </row>
    <row r="19" spans="1:8" s="377" customFormat="1" ht="12" customHeight="1" thickBot="1">
      <c r="A19" s="332" t="s">
        <v>7</v>
      </c>
      <c r="B19" s="388" t="s">
        <v>513</v>
      </c>
      <c r="C19" s="265">
        <f aca="true" t="shared" si="1" ref="C19:H19">SUM(C20:C22)</f>
        <v>0</v>
      </c>
      <c r="D19" s="410">
        <f t="shared" si="1"/>
        <v>0</v>
      </c>
      <c r="E19" s="394">
        <f t="shared" si="1"/>
        <v>0</v>
      </c>
      <c r="F19" s="394">
        <f t="shared" si="1"/>
        <v>0</v>
      </c>
      <c r="G19" s="394">
        <f t="shared" si="1"/>
        <v>0</v>
      </c>
      <c r="H19" s="394">
        <f t="shared" si="1"/>
        <v>0</v>
      </c>
    </row>
    <row r="20" spans="1:8" s="377" customFormat="1" ht="12" customHeight="1">
      <c r="A20" s="398" t="s">
        <v>72</v>
      </c>
      <c r="B20" s="210" t="s">
        <v>271</v>
      </c>
      <c r="C20" s="262"/>
      <c r="D20" s="412"/>
      <c r="E20" s="108"/>
      <c r="F20" s="108"/>
      <c r="G20" s="108"/>
      <c r="H20" s="108"/>
    </row>
    <row r="21" spans="1:8" s="377" customFormat="1" ht="12" customHeight="1">
      <c r="A21" s="398" t="s">
        <v>73</v>
      </c>
      <c r="B21" s="209" t="s">
        <v>514</v>
      </c>
      <c r="C21" s="262"/>
      <c r="D21" s="412"/>
      <c r="E21" s="108"/>
      <c r="F21" s="108"/>
      <c r="G21" s="108"/>
      <c r="H21" s="108"/>
    </row>
    <row r="22" spans="1:8" s="377" customFormat="1" ht="12" customHeight="1">
      <c r="A22" s="398" t="s">
        <v>74</v>
      </c>
      <c r="B22" s="209" t="s">
        <v>515</v>
      </c>
      <c r="C22" s="262"/>
      <c r="D22" s="412"/>
      <c r="E22" s="108"/>
      <c r="F22" s="108"/>
      <c r="G22" s="108"/>
      <c r="H22" s="108"/>
    </row>
    <row r="23" spans="1:8" s="353" customFormat="1" ht="12" customHeight="1" thickBot="1">
      <c r="A23" s="398" t="s">
        <v>75</v>
      </c>
      <c r="B23" s="209" t="s">
        <v>621</v>
      </c>
      <c r="C23" s="262"/>
      <c r="D23" s="412"/>
      <c r="E23" s="108"/>
      <c r="F23" s="108"/>
      <c r="G23" s="108"/>
      <c r="H23" s="108"/>
    </row>
    <row r="24" spans="1:8" s="353" customFormat="1" ht="12" customHeight="1" thickBot="1">
      <c r="A24" s="387" t="s">
        <v>8</v>
      </c>
      <c r="B24" s="218" t="s">
        <v>118</v>
      </c>
      <c r="C24" s="40"/>
      <c r="D24" s="414"/>
      <c r="E24" s="393"/>
      <c r="F24" s="393"/>
      <c r="G24" s="393"/>
      <c r="H24" s="393"/>
    </row>
    <row r="25" spans="1:8" s="353" customFormat="1" ht="12" customHeight="1" thickBot="1">
      <c r="A25" s="387" t="s">
        <v>9</v>
      </c>
      <c r="B25" s="218" t="s">
        <v>516</v>
      </c>
      <c r="C25" s="265">
        <f aca="true" t="shared" si="2" ref="C25:H25">+C26+C27</f>
        <v>0</v>
      </c>
      <c r="D25" s="410">
        <f t="shared" si="2"/>
        <v>0</v>
      </c>
      <c r="E25" s="394">
        <f t="shared" si="2"/>
        <v>0</v>
      </c>
      <c r="F25" s="394">
        <f t="shared" si="2"/>
        <v>0</v>
      </c>
      <c r="G25" s="394">
        <f t="shared" si="2"/>
        <v>0</v>
      </c>
      <c r="H25" s="394">
        <f t="shared" si="2"/>
        <v>0</v>
      </c>
    </row>
    <row r="26" spans="1:8" s="353" customFormat="1" ht="12" customHeight="1">
      <c r="A26" s="399" t="s">
        <v>285</v>
      </c>
      <c r="B26" s="400" t="s">
        <v>514</v>
      </c>
      <c r="C26" s="96"/>
      <c r="D26" s="405"/>
      <c r="E26" s="381"/>
      <c r="F26" s="381"/>
      <c r="G26" s="381"/>
      <c r="H26" s="381"/>
    </row>
    <row r="27" spans="1:8" s="353" customFormat="1" ht="12" customHeight="1">
      <c r="A27" s="399" t="s">
        <v>287</v>
      </c>
      <c r="B27" s="401" t="s">
        <v>517</v>
      </c>
      <c r="C27" s="266"/>
      <c r="D27" s="415"/>
      <c r="E27" s="380"/>
      <c r="F27" s="380"/>
      <c r="G27" s="380"/>
      <c r="H27" s="380"/>
    </row>
    <row r="28" spans="1:8" s="353" customFormat="1" ht="12" customHeight="1" thickBot="1">
      <c r="A28" s="398" t="s">
        <v>288</v>
      </c>
      <c r="B28" s="402" t="s">
        <v>622</v>
      </c>
      <c r="C28" s="384"/>
      <c r="D28" s="416"/>
      <c r="E28" s="379"/>
      <c r="F28" s="379"/>
      <c r="G28" s="379"/>
      <c r="H28" s="379"/>
    </row>
    <row r="29" spans="1:8" s="353" customFormat="1" ht="12" customHeight="1" thickBot="1">
      <c r="A29" s="387" t="s">
        <v>10</v>
      </c>
      <c r="B29" s="218" t="s">
        <v>518</v>
      </c>
      <c r="C29" s="265">
        <f aca="true" t="shared" si="3" ref="C29:H29">+C30+C31+C32</f>
        <v>0</v>
      </c>
      <c r="D29" s="410">
        <f t="shared" si="3"/>
        <v>0</v>
      </c>
      <c r="E29" s="394">
        <f t="shared" si="3"/>
        <v>0</v>
      </c>
      <c r="F29" s="394">
        <f t="shared" si="3"/>
        <v>0</v>
      </c>
      <c r="G29" s="394">
        <f t="shared" si="3"/>
        <v>0</v>
      </c>
      <c r="H29" s="394">
        <f t="shared" si="3"/>
        <v>0</v>
      </c>
    </row>
    <row r="30" spans="1:8" s="353" customFormat="1" ht="12" customHeight="1">
      <c r="A30" s="399" t="s">
        <v>59</v>
      </c>
      <c r="B30" s="400" t="s">
        <v>305</v>
      </c>
      <c r="C30" s="96"/>
      <c r="D30" s="405"/>
      <c r="E30" s="381"/>
      <c r="F30" s="381"/>
      <c r="G30" s="381"/>
      <c r="H30" s="381"/>
    </row>
    <row r="31" spans="1:8" s="353" customFormat="1" ht="12" customHeight="1">
      <c r="A31" s="399" t="s">
        <v>60</v>
      </c>
      <c r="B31" s="401" t="s">
        <v>306</v>
      </c>
      <c r="C31" s="266"/>
      <c r="D31" s="415"/>
      <c r="E31" s="380"/>
      <c r="F31" s="380"/>
      <c r="G31" s="380"/>
      <c r="H31" s="380"/>
    </row>
    <row r="32" spans="1:8" s="353" customFormat="1" ht="12" customHeight="1" thickBot="1">
      <c r="A32" s="398" t="s">
        <v>61</v>
      </c>
      <c r="B32" s="386" t="s">
        <v>308</v>
      </c>
      <c r="C32" s="384"/>
      <c r="D32" s="416"/>
      <c r="E32" s="379"/>
      <c r="F32" s="379"/>
      <c r="G32" s="379"/>
      <c r="H32" s="379"/>
    </row>
    <row r="33" spans="1:8" s="353" customFormat="1" ht="12" customHeight="1" thickBot="1">
      <c r="A33" s="387" t="s">
        <v>11</v>
      </c>
      <c r="B33" s="218" t="s">
        <v>432</v>
      </c>
      <c r="C33" s="40"/>
      <c r="D33" s="414"/>
      <c r="E33" s="393"/>
      <c r="F33" s="393"/>
      <c r="G33" s="393"/>
      <c r="H33" s="393"/>
    </row>
    <row r="34" spans="1:8" s="353" customFormat="1" ht="12" customHeight="1" thickBot="1">
      <c r="A34" s="387" t="s">
        <v>12</v>
      </c>
      <c r="B34" s="218" t="s">
        <v>519</v>
      </c>
      <c r="C34" s="40"/>
      <c r="D34" s="414"/>
      <c r="E34" s="393"/>
      <c r="F34" s="393"/>
      <c r="G34" s="393"/>
      <c r="H34" s="393"/>
    </row>
    <row r="35" spans="1:8" s="353" customFormat="1" ht="12" customHeight="1" thickBot="1">
      <c r="A35" s="332" t="s">
        <v>13</v>
      </c>
      <c r="B35" s="218" t="s">
        <v>520</v>
      </c>
      <c r="C35" s="265">
        <f aca="true" t="shared" si="4" ref="C35:H35">+C8+C19+C24+C25+C29+C33+C34</f>
        <v>110000</v>
      </c>
      <c r="D35" s="410">
        <f t="shared" si="4"/>
        <v>110000</v>
      </c>
      <c r="E35" s="394">
        <f t="shared" si="4"/>
        <v>72102</v>
      </c>
      <c r="F35" s="394">
        <f t="shared" si="4"/>
        <v>0</v>
      </c>
      <c r="G35" s="394">
        <f t="shared" si="4"/>
        <v>0</v>
      </c>
      <c r="H35" s="394">
        <f t="shared" si="4"/>
        <v>0</v>
      </c>
    </row>
    <row r="36" spans="1:8" s="377" customFormat="1" ht="12" customHeight="1" thickBot="1">
      <c r="A36" s="389" t="s">
        <v>14</v>
      </c>
      <c r="B36" s="218" t="s">
        <v>521</v>
      </c>
      <c r="C36" s="265">
        <f aca="true" t="shared" si="5" ref="C36:H36">+C37+C38+C39</f>
        <v>301123191</v>
      </c>
      <c r="D36" s="410">
        <f t="shared" si="5"/>
        <v>321066951</v>
      </c>
      <c r="E36" s="394">
        <f t="shared" si="5"/>
        <v>310108970</v>
      </c>
      <c r="F36" s="394">
        <f t="shared" si="5"/>
        <v>292868648</v>
      </c>
      <c r="G36" s="394">
        <f t="shared" si="5"/>
        <v>9783418</v>
      </c>
      <c r="H36" s="394">
        <f t="shared" si="5"/>
        <v>0</v>
      </c>
    </row>
    <row r="37" spans="1:8" s="377" customFormat="1" ht="15" customHeight="1">
      <c r="A37" s="399" t="s">
        <v>522</v>
      </c>
      <c r="B37" s="400" t="s">
        <v>159</v>
      </c>
      <c r="C37" s="96"/>
      <c r="D37" s="405">
        <v>7456904</v>
      </c>
      <c r="E37" s="381">
        <v>7456904</v>
      </c>
      <c r="F37" s="381"/>
      <c r="G37" s="381"/>
      <c r="H37" s="381"/>
    </row>
    <row r="38" spans="1:8" s="377" customFormat="1" ht="15" customHeight="1">
      <c r="A38" s="399" t="s">
        <v>523</v>
      </c>
      <c r="B38" s="401" t="s">
        <v>2</v>
      </c>
      <c r="C38" s="266"/>
      <c r="D38" s="415"/>
      <c r="E38" s="380"/>
      <c r="F38" s="380"/>
      <c r="G38" s="380"/>
      <c r="H38" s="380"/>
    </row>
    <row r="39" spans="1:8" ht="13.5" thickBot="1">
      <c r="A39" s="398" t="s">
        <v>524</v>
      </c>
      <c r="B39" s="386" t="s">
        <v>525</v>
      </c>
      <c r="C39" s="384">
        <v>301123191</v>
      </c>
      <c r="D39" s="416">
        <v>313610047</v>
      </c>
      <c r="E39" s="379">
        <v>302652066</v>
      </c>
      <c r="F39" s="379">
        <f>E39-G39</f>
        <v>292868648</v>
      </c>
      <c r="G39" s="379">
        <v>9783418</v>
      </c>
      <c r="H39" s="379"/>
    </row>
    <row r="40" spans="1:8" s="376" customFormat="1" ht="16.5" customHeight="1" thickBot="1">
      <c r="A40" s="389" t="s">
        <v>15</v>
      </c>
      <c r="B40" s="390" t="s">
        <v>526</v>
      </c>
      <c r="C40" s="102">
        <f aca="true" t="shared" si="6" ref="C40:H40">+C35+C36</f>
        <v>301233191</v>
      </c>
      <c r="D40" s="417">
        <f t="shared" si="6"/>
        <v>321176951</v>
      </c>
      <c r="E40" s="395">
        <f t="shared" si="6"/>
        <v>310181072</v>
      </c>
      <c r="F40" s="395">
        <f t="shared" si="6"/>
        <v>292868648</v>
      </c>
      <c r="G40" s="395">
        <f t="shared" si="6"/>
        <v>9783418</v>
      </c>
      <c r="H40" s="395">
        <f t="shared" si="6"/>
        <v>0</v>
      </c>
    </row>
    <row r="41" spans="1:5" s="196" customFormat="1" ht="12" customHeight="1">
      <c r="A41" s="338"/>
      <c r="B41" s="339"/>
      <c r="C41" s="351"/>
      <c r="D41" s="351"/>
      <c r="E41" s="351"/>
    </row>
    <row r="42" spans="1:5" ht="12" customHeight="1" thickBot="1">
      <c r="A42" s="340"/>
      <c r="B42" s="341"/>
      <c r="C42" s="352"/>
      <c r="D42" s="352"/>
      <c r="E42" s="352"/>
    </row>
    <row r="43" spans="1:8" ht="12" customHeight="1" thickBot="1">
      <c r="A43" s="853" t="s">
        <v>42</v>
      </c>
      <c r="B43" s="854"/>
      <c r="C43" s="854"/>
      <c r="D43" s="854"/>
      <c r="E43" s="854"/>
      <c r="F43" s="854"/>
      <c r="G43" s="854"/>
      <c r="H43" s="855"/>
    </row>
    <row r="44" spans="1:8" ht="12" customHeight="1" thickBot="1">
      <c r="A44" s="752" t="s">
        <v>6</v>
      </c>
      <c r="B44" s="753" t="s">
        <v>527</v>
      </c>
      <c r="C44" s="754">
        <f aca="true" t="shared" si="7" ref="C44:H44">SUM(C45:C49)</f>
        <v>298740191</v>
      </c>
      <c r="D44" s="754">
        <f t="shared" si="7"/>
        <v>318683951</v>
      </c>
      <c r="E44" s="755">
        <f t="shared" si="7"/>
        <v>297159781</v>
      </c>
      <c r="F44" s="755">
        <f t="shared" si="7"/>
        <v>287376363</v>
      </c>
      <c r="G44" s="755">
        <f t="shared" si="7"/>
        <v>9783418</v>
      </c>
      <c r="H44" s="755">
        <f t="shared" si="7"/>
        <v>0</v>
      </c>
    </row>
    <row r="45" spans="1:8" ht="12" customHeight="1">
      <c r="A45" s="398" t="s">
        <v>66</v>
      </c>
      <c r="B45" s="210" t="s">
        <v>36</v>
      </c>
      <c r="C45" s="96">
        <v>221200529</v>
      </c>
      <c r="D45" s="96">
        <v>231275799</v>
      </c>
      <c r="E45" s="381">
        <v>230951313</v>
      </c>
      <c r="F45" s="381">
        <f>E45-G45</f>
        <v>223939618</v>
      </c>
      <c r="G45" s="381">
        <v>7011695</v>
      </c>
      <c r="H45" s="381"/>
    </row>
    <row r="46" spans="1:8" ht="12" customHeight="1">
      <c r="A46" s="398" t="s">
        <v>67</v>
      </c>
      <c r="B46" s="209" t="s">
        <v>127</v>
      </c>
      <c r="C46" s="259">
        <v>63272662</v>
      </c>
      <c r="D46" s="259">
        <v>65221281</v>
      </c>
      <c r="E46" s="403">
        <v>54510020</v>
      </c>
      <c r="F46" s="381">
        <f>E46-G46</f>
        <v>51738297</v>
      </c>
      <c r="G46" s="403">
        <v>2771723</v>
      </c>
      <c r="H46" s="403"/>
    </row>
    <row r="47" spans="1:8" ht="12" customHeight="1">
      <c r="A47" s="398" t="s">
        <v>68</v>
      </c>
      <c r="B47" s="209" t="s">
        <v>95</v>
      </c>
      <c r="C47" s="259">
        <v>14267000</v>
      </c>
      <c r="D47" s="259">
        <v>22186871</v>
      </c>
      <c r="E47" s="403">
        <v>11698448</v>
      </c>
      <c r="F47" s="381">
        <f>E47-G47</f>
        <v>11698448</v>
      </c>
      <c r="G47" s="403"/>
      <c r="H47" s="403"/>
    </row>
    <row r="48" spans="1:8" s="196" customFormat="1" ht="12" customHeight="1">
      <c r="A48" s="398" t="s">
        <v>69</v>
      </c>
      <c r="B48" s="209" t="s">
        <v>128</v>
      </c>
      <c r="C48" s="259"/>
      <c r="D48" s="259"/>
      <c r="E48" s="403"/>
      <c r="F48" s="403"/>
      <c r="G48" s="403"/>
      <c r="H48" s="403"/>
    </row>
    <row r="49" spans="1:8" ht="12" customHeight="1" thickBot="1">
      <c r="A49" s="398" t="s">
        <v>101</v>
      </c>
      <c r="B49" s="209" t="s">
        <v>129</v>
      </c>
      <c r="C49" s="259"/>
      <c r="D49" s="259"/>
      <c r="E49" s="403"/>
      <c r="F49" s="403"/>
      <c r="G49" s="403"/>
      <c r="H49" s="403"/>
    </row>
    <row r="50" spans="1:8" ht="12" customHeight="1" thickBot="1">
      <c r="A50" s="387" t="s">
        <v>7</v>
      </c>
      <c r="B50" s="218" t="s">
        <v>528</v>
      </c>
      <c r="C50" s="265">
        <f>SUM(C51:C53)</f>
        <v>2493000</v>
      </c>
      <c r="D50" s="265">
        <f>SUM(D51:D53)</f>
        <v>2493000</v>
      </c>
      <c r="E50" s="394">
        <f>SUM(E51:E53)</f>
        <v>1425293</v>
      </c>
      <c r="F50" s="394">
        <f>SUM(F51:F53)</f>
        <v>0</v>
      </c>
      <c r="G50" s="394">
        <f>SUM(G51:G53)</f>
        <v>0</v>
      </c>
      <c r="H50" s="394"/>
    </row>
    <row r="51" spans="1:8" ht="12" customHeight="1">
      <c r="A51" s="398" t="s">
        <v>72</v>
      </c>
      <c r="B51" s="210" t="s">
        <v>150</v>
      </c>
      <c r="C51" s="96">
        <v>968000</v>
      </c>
      <c r="D51" s="96">
        <v>1425954</v>
      </c>
      <c r="E51" s="381">
        <v>1425293</v>
      </c>
      <c r="F51" s="381"/>
      <c r="G51" s="381"/>
      <c r="H51" s="381"/>
    </row>
    <row r="52" spans="1:8" ht="12" customHeight="1">
      <c r="A52" s="398" t="s">
        <v>73</v>
      </c>
      <c r="B52" s="209" t="s">
        <v>131</v>
      </c>
      <c r="C52" s="259">
        <v>1525000</v>
      </c>
      <c r="D52" s="259">
        <v>1067046</v>
      </c>
      <c r="E52" s="403"/>
      <c r="F52" s="403"/>
      <c r="G52" s="403"/>
      <c r="H52" s="403"/>
    </row>
    <row r="53" spans="1:8" ht="15" customHeight="1">
      <c r="A53" s="398" t="s">
        <v>74</v>
      </c>
      <c r="B53" s="209" t="s">
        <v>43</v>
      </c>
      <c r="C53" s="259"/>
      <c r="D53" s="259"/>
      <c r="E53" s="403"/>
      <c r="F53" s="403"/>
      <c r="G53" s="403"/>
      <c r="H53" s="403"/>
    </row>
    <row r="54" spans="1:8" ht="13.5" thickBot="1">
      <c r="A54" s="398" t="s">
        <v>75</v>
      </c>
      <c r="B54" s="209" t="s">
        <v>623</v>
      </c>
      <c r="C54" s="259"/>
      <c r="D54" s="259"/>
      <c r="E54" s="403"/>
      <c r="F54" s="403"/>
      <c r="G54" s="403"/>
      <c r="H54" s="403"/>
    </row>
    <row r="55" spans="1:8" ht="15" customHeight="1" thickBot="1">
      <c r="A55" s="387" t="s">
        <v>8</v>
      </c>
      <c r="B55" s="391" t="s">
        <v>529</v>
      </c>
      <c r="C55" s="102">
        <f>+C44+C50</f>
        <v>301233191</v>
      </c>
      <c r="D55" s="102">
        <f>+D44+D50</f>
        <v>321176951</v>
      </c>
      <c r="E55" s="395">
        <f>+E44+E50</f>
        <v>298585074</v>
      </c>
      <c r="F55" s="395">
        <f>+F44+F50</f>
        <v>287376363</v>
      </c>
      <c r="G55" s="395">
        <f>+G44+G50</f>
        <v>9783418</v>
      </c>
      <c r="H55" s="395"/>
    </row>
    <row r="56" spans="3:5" ht="13.5" thickBot="1">
      <c r="C56" s="396"/>
      <c r="D56" s="396"/>
      <c r="E56" s="396"/>
    </row>
    <row r="57" spans="1:8" ht="13.5" thickBot="1">
      <c r="A57" s="342" t="s">
        <v>616</v>
      </c>
      <c r="B57" s="343"/>
      <c r="C57" s="106">
        <v>70</v>
      </c>
      <c r="D57" s="106">
        <v>70</v>
      </c>
      <c r="E57" s="385">
        <v>70</v>
      </c>
      <c r="F57" s="385"/>
      <c r="G57" s="385"/>
      <c r="H57" s="385"/>
    </row>
    <row r="58" spans="1:8" ht="13.5" thickBot="1">
      <c r="A58" s="342" t="s">
        <v>143</v>
      </c>
      <c r="B58" s="343"/>
      <c r="C58" s="106">
        <v>0</v>
      </c>
      <c r="D58" s="106">
        <v>0</v>
      </c>
      <c r="E58" s="385">
        <v>0</v>
      </c>
      <c r="F58" s="385"/>
      <c r="G58" s="385"/>
      <c r="H58" s="385"/>
    </row>
  </sheetData>
  <sheetProtection formatCells="0"/>
  <mergeCells count="5">
    <mergeCell ref="A1:H1"/>
    <mergeCell ref="A7:H7"/>
    <mergeCell ref="A43:H43"/>
    <mergeCell ref="B2:H2"/>
    <mergeCell ref="B3:H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6"/>
  <sheetViews>
    <sheetView workbookViewId="0" topLeftCell="A1">
      <selection activeCell="P25" sqref="P25"/>
    </sheetView>
  </sheetViews>
  <sheetFormatPr defaultColWidth="9.375" defaultRowHeight="12.75"/>
  <cols>
    <col min="1" max="1" width="7.00390625" style="194" customWidth="1"/>
    <col min="2" max="2" width="32.00390625" style="31" customWidth="1"/>
    <col min="3" max="3" width="12.50390625" style="31" customWidth="1"/>
    <col min="4" max="4" width="11.75390625" style="31" customWidth="1"/>
    <col min="5" max="5" width="14.125" style="31" customWidth="1"/>
    <col min="6" max="6" width="14.50390625" style="31" customWidth="1"/>
    <col min="7" max="7" width="12.75390625" style="31" customWidth="1"/>
    <col min="8" max="16384" width="9.375" style="31" customWidth="1"/>
  </cols>
  <sheetData>
    <row r="1" ht="14.25" thickBot="1">
      <c r="G1" s="38" t="s">
        <v>696</v>
      </c>
    </row>
    <row r="2" spans="1:7" ht="17.25" customHeight="1" thickBot="1">
      <c r="A2" s="875" t="s">
        <v>4</v>
      </c>
      <c r="B2" s="877" t="s">
        <v>262</v>
      </c>
      <c r="C2" s="877" t="s">
        <v>674</v>
      </c>
      <c r="D2" s="877" t="s">
        <v>650</v>
      </c>
      <c r="E2" s="871" t="s">
        <v>624</v>
      </c>
      <c r="F2" s="871"/>
      <c r="G2" s="872"/>
    </row>
    <row r="3" spans="1:7" s="195" customFormat="1" ht="57.75" customHeight="1" thickBot="1">
      <c r="A3" s="876"/>
      <c r="B3" s="878"/>
      <c r="C3" s="878"/>
      <c r="D3" s="878"/>
      <c r="E3" s="29" t="s">
        <v>625</v>
      </c>
      <c r="F3" s="29" t="s">
        <v>626</v>
      </c>
      <c r="G3" s="436" t="s">
        <v>627</v>
      </c>
    </row>
    <row r="4" spans="1:7" s="196" customFormat="1" ht="15" customHeight="1" thickBot="1">
      <c r="A4" s="332" t="s">
        <v>373</v>
      </c>
      <c r="B4" s="333" t="s">
        <v>374</v>
      </c>
      <c r="C4" s="333" t="s">
        <v>375</v>
      </c>
      <c r="D4" s="333" t="s">
        <v>376</v>
      </c>
      <c r="E4" s="333" t="s">
        <v>651</v>
      </c>
      <c r="F4" s="333" t="s">
        <v>453</v>
      </c>
      <c r="G4" s="406" t="s">
        <v>454</v>
      </c>
    </row>
    <row r="5" spans="1:7" ht="24.75" customHeight="1">
      <c r="A5" s="197" t="s">
        <v>6</v>
      </c>
      <c r="B5" s="198" t="s">
        <v>695</v>
      </c>
      <c r="C5" s="199">
        <v>170322993</v>
      </c>
      <c r="D5" s="199"/>
      <c r="E5" s="200">
        <f aca="true" t="shared" si="0" ref="E5:E10">F5+G5</f>
        <v>170322993</v>
      </c>
      <c r="F5" s="199">
        <v>653252508</v>
      </c>
      <c r="G5" s="201">
        <v>-482929515</v>
      </c>
    </row>
    <row r="6" spans="1:7" ht="25.5" customHeight="1">
      <c r="A6" s="202" t="s">
        <v>7</v>
      </c>
      <c r="B6" s="203" t="s">
        <v>697</v>
      </c>
      <c r="C6" s="2">
        <v>4247906</v>
      </c>
      <c r="D6" s="2"/>
      <c r="E6" s="200">
        <f t="shared" si="0"/>
        <v>4247906</v>
      </c>
      <c r="F6" s="2">
        <v>-133838854</v>
      </c>
      <c r="G6" s="150">
        <v>138086760</v>
      </c>
    </row>
    <row r="7" spans="1:7" ht="27.75" customHeight="1">
      <c r="A7" s="202" t="s">
        <v>8</v>
      </c>
      <c r="B7" s="203" t="s">
        <v>698</v>
      </c>
      <c r="C7" s="2">
        <v>4258237</v>
      </c>
      <c r="D7" s="2"/>
      <c r="E7" s="200">
        <f t="shared" si="0"/>
        <v>4258237</v>
      </c>
      <c r="F7" s="200">
        <v>-49445740</v>
      </c>
      <c r="G7" s="150">
        <v>53703977</v>
      </c>
    </row>
    <row r="8" spans="1:7" ht="21.75" customHeight="1">
      <c r="A8" s="202" t="s">
        <v>9</v>
      </c>
      <c r="B8" s="203" t="s">
        <v>679</v>
      </c>
      <c r="C8" s="2">
        <v>4855619</v>
      </c>
      <c r="D8" s="2"/>
      <c r="E8" s="200">
        <f t="shared" si="0"/>
        <v>4855619</v>
      </c>
      <c r="F8" s="2">
        <v>-301689237</v>
      </c>
      <c r="G8" s="150">
        <v>306544856</v>
      </c>
    </row>
    <row r="9" spans="1:7" ht="27" customHeight="1">
      <c r="A9" s="202" t="s">
        <v>10</v>
      </c>
      <c r="B9" s="203" t="s">
        <v>699</v>
      </c>
      <c r="C9" s="2">
        <v>2246645</v>
      </c>
      <c r="D9" s="2"/>
      <c r="E9" s="200">
        <f t="shared" si="0"/>
        <v>2246645</v>
      </c>
      <c r="F9" s="2">
        <v>-43462521</v>
      </c>
      <c r="G9" s="150">
        <v>45709166</v>
      </c>
    </row>
    <row r="10" spans="1:7" ht="28.5" customHeight="1">
      <c r="A10" s="202" t="s">
        <v>11</v>
      </c>
      <c r="B10" s="203" t="s">
        <v>680</v>
      </c>
      <c r="C10" s="2">
        <v>7456904</v>
      </c>
      <c r="D10" s="2"/>
      <c r="E10" s="200">
        <f t="shared" si="0"/>
        <v>7456904</v>
      </c>
      <c r="F10" s="2">
        <v>-266383757</v>
      </c>
      <c r="G10" s="150">
        <v>273840661</v>
      </c>
    </row>
    <row r="11" spans="1:7" ht="15" customHeight="1">
      <c r="A11" s="202" t="s">
        <v>12</v>
      </c>
      <c r="B11" s="203"/>
      <c r="C11" s="2"/>
      <c r="D11" s="2"/>
      <c r="E11" s="200">
        <f aca="true" t="shared" si="1" ref="E11:E35">C11+D11</f>
        <v>0</v>
      </c>
      <c r="F11" s="2"/>
      <c r="G11" s="150"/>
    </row>
    <row r="12" spans="1:7" ht="15" customHeight="1">
      <c r="A12" s="202" t="s">
        <v>13</v>
      </c>
      <c r="B12" s="203"/>
      <c r="C12" s="2"/>
      <c r="D12" s="2"/>
      <c r="E12" s="200">
        <f t="shared" si="1"/>
        <v>0</v>
      </c>
      <c r="F12" s="2"/>
      <c r="G12" s="150"/>
    </row>
    <row r="13" spans="1:7" ht="15" customHeight="1">
      <c r="A13" s="202" t="s">
        <v>14</v>
      </c>
      <c r="B13" s="203"/>
      <c r="C13" s="2"/>
      <c r="D13" s="2"/>
      <c r="E13" s="200">
        <f t="shared" si="1"/>
        <v>0</v>
      </c>
      <c r="F13" s="2"/>
      <c r="G13" s="150"/>
    </row>
    <row r="14" spans="1:7" ht="15" customHeight="1">
      <c r="A14" s="202" t="s">
        <v>15</v>
      </c>
      <c r="B14" s="203"/>
      <c r="C14" s="2"/>
      <c r="D14" s="2"/>
      <c r="E14" s="200">
        <f t="shared" si="1"/>
        <v>0</v>
      </c>
      <c r="F14" s="2"/>
      <c r="G14" s="150"/>
    </row>
    <row r="15" spans="1:7" ht="15" customHeight="1">
      <c r="A15" s="202" t="s">
        <v>16</v>
      </c>
      <c r="B15" s="203"/>
      <c r="C15" s="2"/>
      <c r="D15" s="2"/>
      <c r="E15" s="200">
        <f t="shared" si="1"/>
        <v>0</v>
      </c>
      <c r="F15" s="2"/>
      <c r="G15" s="150"/>
    </row>
    <row r="16" spans="1:7" ht="15" customHeight="1">
      <c r="A16" s="202" t="s">
        <v>17</v>
      </c>
      <c r="B16" s="203"/>
      <c r="C16" s="2"/>
      <c r="D16" s="2"/>
      <c r="E16" s="200">
        <f t="shared" si="1"/>
        <v>0</v>
      </c>
      <c r="F16" s="2"/>
      <c r="G16" s="150"/>
    </row>
    <row r="17" spans="1:7" ht="15" customHeight="1">
      <c r="A17" s="202" t="s">
        <v>18</v>
      </c>
      <c r="B17" s="203"/>
      <c r="C17" s="2"/>
      <c r="D17" s="2"/>
      <c r="E17" s="200">
        <f t="shared" si="1"/>
        <v>0</v>
      </c>
      <c r="F17" s="2"/>
      <c r="G17" s="150"/>
    </row>
    <row r="18" spans="1:7" ht="15" customHeight="1">
      <c r="A18" s="202" t="s">
        <v>19</v>
      </c>
      <c r="B18" s="203"/>
      <c r="C18" s="2"/>
      <c r="D18" s="2"/>
      <c r="E18" s="200">
        <f t="shared" si="1"/>
        <v>0</v>
      </c>
      <c r="F18" s="2"/>
      <c r="G18" s="150"/>
    </row>
    <row r="19" spans="1:7" ht="15" customHeight="1">
      <c r="A19" s="202" t="s">
        <v>20</v>
      </c>
      <c r="B19" s="203"/>
      <c r="C19" s="2"/>
      <c r="D19" s="2"/>
      <c r="E19" s="200">
        <f t="shared" si="1"/>
        <v>0</v>
      </c>
      <c r="F19" s="2"/>
      <c r="G19" s="150"/>
    </row>
    <row r="20" spans="1:7" ht="15" customHeight="1">
      <c r="A20" s="202" t="s">
        <v>21</v>
      </c>
      <c r="B20" s="203"/>
      <c r="C20" s="2"/>
      <c r="D20" s="2"/>
      <c r="E20" s="200">
        <f t="shared" si="1"/>
        <v>0</v>
      </c>
      <c r="F20" s="2"/>
      <c r="G20" s="150"/>
    </row>
    <row r="21" spans="1:7" ht="15" customHeight="1">
      <c r="A21" s="202" t="s">
        <v>22</v>
      </c>
      <c r="B21" s="203"/>
      <c r="C21" s="2"/>
      <c r="D21" s="2"/>
      <c r="E21" s="200">
        <f t="shared" si="1"/>
        <v>0</v>
      </c>
      <c r="F21" s="2"/>
      <c r="G21" s="150"/>
    </row>
    <row r="22" spans="1:7" ht="15" customHeight="1">
      <c r="A22" s="202" t="s">
        <v>23</v>
      </c>
      <c r="B22" s="203"/>
      <c r="C22" s="2"/>
      <c r="D22" s="2"/>
      <c r="E22" s="200">
        <f t="shared" si="1"/>
        <v>0</v>
      </c>
      <c r="F22" s="2"/>
      <c r="G22" s="150"/>
    </row>
    <row r="23" spans="1:7" ht="15" customHeight="1">
      <c r="A23" s="202" t="s">
        <v>24</v>
      </c>
      <c r="B23" s="203"/>
      <c r="C23" s="2"/>
      <c r="D23" s="2"/>
      <c r="E23" s="200">
        <f t="shared" si="1"/>
        <v>0</v>
      </c>
      <c r="F23" s="2"/>
      <c r="G23" s="150"/>
    </row>
    <row r="24" spans="1:7" ht="15" customHeight="1">
      <c r="A24" s="202" t="s">
        <v>25</v>
      </c>
      <c r="B24" s="203"/>
      <c r="C24" s="2"/>
      <c r="D24" s="2"/>
      <c r="E24" s="200">
        <f t="shared" si="1"/>
        <v>0</v>
      </c>
      <c r="F24" s="2"/>
      <c r="G24" s="150"/>
    </row>
    <row r="25" spans="1:7" ht="15" customHeight="1">
      <c r="A25" s="202" t="s">
        <v>26</v>
      </c>
      <c r="B25" s="203"/>
      <c r="C25" s="2"/>
      <c r="D25" s="2"/>
      <c r="E25" s="200">
        <f t="shared" si="1"/>
        <v>0</v>
      </c>
      <c r="F25" s="2"/>
      <c r="G25" s="150"/>
    </row>
    <row r="26" spans="1:7" ht="15" customHeight="1">
      <c r="A26" s="202" t="s">
        <v>27</v>
      </c>
      <c r="B26" s="203"/>
      <c r="C26" s="2"/>
      <c r="D26" s="2"/>
      <c r="E26" s="200">
        <f t="shared" si="1"/>
        <v>0</v>
      </c>
      <c r="F26" s="2"/>
      <c r="G26" s="150"/>
    </row>
    <row r="27" spans="1:7" ht="15" customHeight="1">
      <c r="A27" s="202" t="s">
        <v>28</v>
      </c>
      <c r="B27" s="203"/>
      <c r="C27" s="2"/>
      <c r="D27" s="2"/>
      <c r="E27" s="200">
        <f t="shared" si="1"/>
        <v>0</v>
      </c>
      <c r="F27" s="2"/>
      <c r="G27" s="150"/>
    </row>
    <row r="28" spans="1:7" ht="15" customHeight="1">
      <c r="A28" s="202" t="s">
        <v>29</v>
      </c>
      <c r="B28" s="203"/>
      <c r="C28" s="2"/>
      <c r="D28" s="2"/>
      <c r="E28" s="200">
        <f t="shared" si="1"/>
        <v>0</v>
      </c>
      <c r="F28" s="2"/>
      <c r="G28" s="150"/>
    </row>
    <row r="29" spans="1:7" ht="15" customHeight="1">
      <c r="A29" s="202" t="s">
        <v>30</v>
      </c>
      <c r="B29" s="203"/>
      <c r="C29" s="2"/>
      <c r="D29" s="2"/>
      <c r="E29" s="200">
        <f t="shared" si="1"/>
        <v>0</v>
      </c>
      <c r="F29" s="2"/>
      <c r="G29" s="150"/>
    </row>
    <row r="30" spans="1:7" ht="15" customHeight="1">
      <c r="A30" s="202" t="s">
        <v>31</v>
      </c>
      <c r="B30" s="203"/>
      <c r="C30" s="2"/>
      <c r="D30" s="2"/>
      <c r="E30" s="200"/>
      <c r="F30" s="2"/>
      <c r="G30" s="150"/>
    </row>
    <row r="31" spans="1:7" ht="15" customHeight="1">
      <c r="A31" s="202" t="s">
        <v>32</v>
      </c>
      <c r="B31" s="203"/>
      <c r="C31" s="2"/>
      <c r="D31" s="2"/>
      <c r="E31" s="200">
        <f t="shared" si="1"/>
        <v>0</v>
      </c>
      <c r="F31" s="2"/>
      <c r="G31" s="150"/>
    </row>
    <row r="32" spans="1:7" ht="15" customHeight="1">
      <c r="A32" s="202" t="s">
        <v>33</v>
      </c>
      <c r="B32" s="203"/>
      <c r="C32" s="2"/>
      <c r="D32" s="2"/>
      <c r="E32" s="200">
        <f t="shared" si="1"/>
        <v>0</v>
      </c>
      <c r="F32" s="2"/>
      <c r="G32" s="150"/>
    </row>
    <row r="33" spans="1:7" ht="15" customHeight="1">
      <c r="A33" s="202" t="s">
        <v>34</v>
      </c>
      <c r="B33" s="203"/>
      <c r="C33" s="2"/>
      <c r="D33" s="2"/>
      <c r="E33" s="200">
        <f t="shared" si="1"/>
        <v>0</v>
      </c>
      <c r="F33" s="2"/>
      <c r="G33" s="150"/>
    </row>
    <row r="34" spans="1:7" ht="15" customHeight="1">
      <c r="A34" s="202" t="s">
        <v>86</v>
      </c>
      <c r="B34" s="203"/>
      <c r="C34" s="2"/>
      <c r="D34" s="2"/>
      <c r="E34" s="200">
        <f t="shared" si="1"/>
        <v>0</v>
      </c>
      <c r="F34" s="2"/>
      <c r="G34" s="150"/>
    </row>
    <row r="35" spans="1:7" ht="15" customHeight="1" thickBot="1">
      <c r="A35" s="202" t="s">
        <v>180</v>
      </c>
      <c r="B35" s="204"/>
      <c r="C35" s="3"/>
      <c r="D35" s="3"/>
      <c r="E35" s="200">
        <f t="shared" si="1"/>
        <v>0</v>
      </c>
      <c r="F35" s="3"/>
      <c r="G35" s="205"/>
    </row>
    <row r="36" spans="1:7" ht="15" customHeight="1" thickBot="1">
      <c r="A36" s="873" t="s">
        <v>39</v>
      </c>
      <c r="B36" s="874"/>
      <c r="C36" s="13">
        <f>SUM(C5:C35)</f>
        <v>193388304</v>
      </c>
      <c r="D36" s="13">
        <f>SUM(D5:D35)</f>
        <v>0</v>
      </c>
      <c r="E36" s="13">
        <f>SUM(E5:E35)</f>
        <v>193388304</v>
      </c>
      <c r="F36" s="13">
        <f>SUM(F5:F35)</f>
        <v>-141567601</v>
      </c>
      <c r="G36" s="14">
        <f>SUM(G5:G35)</f>
        <v>334955905</v>
      </c>
    </row>
  </sheetData>
  <sheetProtection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fitToHeight="1" fitToWidth="1" horizontalDpi="300" verticalDpi="300" orientation="portrait" paperSize="9" scale="91" r:id="rId1"/>
  <headerFooter alignWithMargins="0">
    <oddHeader>&amp;C&amp;"Times New Roman CE,Félkövér"&amp;12
KÖLTSÉGVETÉSI SZERVEK MARADVÁNYÁNAK ALAKULÁSA&amp;R&amp;"Times New Roman CE,Félkövér dőlt"&amp;12 12. melléklet a 4/2018. (V.30.) önkormányzati rendelethez&amp;"Times New Roman CE,Dőlt"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J1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18.50390625" style="0" customWidth="1"/>
    <col min="2" max="2" width="48.375" style="0" customWidth="1"/>
    <col min="3" max="3" width="24.125" style="0" customWidth="1"/>
    <col min="4" max="4" width="21.125" style="0" customWidth="1"/>
    <col min="5" max="5" width="23.125" style="0" customWidth="1"/>
    <col min="6" max="6" width="18.75390625" style="0" customWidth="1"/>
    <col min="7" max="7" width="15.625" style="0" customWidth="1"/>
    <col min="8" max="8" width="20.125" style="0" customWidth="1"/>
    <col min="9" max="9" width="20.75390625" style="0" customWidth="1"/>
  </cols>
  <sheetData>
    <row r="1" spans="1:9" ht="33" customHeight="1">
      <c r="A1" s="884" t="s">
        <v>983</v>
      </c>
      <c r="B1" s="884"/>
      <c r="C1" s="884"/>
      <c r="D1" s="884"/>
      <c r="E1" s="884"/>
      <c r="F1" s="884"/>
      <c r="G1" s="884"/>
      <c r="H1" s="884"/>
      <c r="I1" s="884"/>
    </row>
    <row r="2" spans="1:9" ht="43.5" customHeight="1">
      <c r="A2" s="883" t="s">
        <v>981</v>
      </c>
      <c r="B2" s="883"/>
      <c r="C2" s="883"/>
      <c r="D2" s="883"/>
      <c r="E2" s="883"/>
      <c r="F2" s="883"/>
      <c r="G2" s="883"/>
      <c r="H2" s="883"/>
      <c r="I2" s="883"/>
    </row>
    <row r="3" spans="1:9" ht="15" customHeight="1" thickBot="1">
      <c r="A3" s="775"/>
      <c r="B3" s="775"/>
      <c r="C3" s="774"/>
      <c r="D3" s="774"/>
      <c r="E3" s="774"/>
      <c r="F3" s="774"/>
      <c r="G3" s="774"/>
      <c r="H3" s="774"/>
      <c r="I3" s="775"/>
    </row>
    <row r="4" spans="1:10" ht="63" thickBot="1">
      <c r="A4" s="881" t="s">
        <v>4</v>
      </c>
      <c r="B4" s="879" t="s">
        <v>47</v>
      </c>
      <c r="C4" s="772" t="s">
        <v>695</v>
      </c>
      <c r="D4" s="771" t="s">
        <v>676</v>
      </c>
      <c r="E4" s="771" t="s">
        <v>698</v>
      </c>
      <c r="F4" s="771" t="s">
        <v>679</v>
      </c>
      <c r="G4" s="771" t="s">
        <v>857</v>
      </c>
      <c r="H4" s="795" t="s">
        <v>854</v>
      </c>
      <c r="I4" s="800" t="s">
        <v>38</v>
      </c>
      <c r="J4" s="770"/>
    </row>
    <row r="5" spans="1:9" ht="14.25" thickBot="1">
      <c r="A5" s="882"/>
      <c r="B5" s="880"/>
      <c r="C5" s="773" t="s">
        <v>980</v>
      </c>
      <c r="D5" s="766" t="s">
        <v>980</v>
      </c>
      <c r="E5" s="766" t="s">
        <v>980</v>
      </c>
      <c r="F5" s="766" t="s">
        <v>980</v>
      </c>
      <c r="G5" s="766" t="s">
        <v>980</v>
      </c>
      <c r="H5" s="796" t="s">
        <v>980</v>
      </c>
      <c r="I5" s="801" t="s">
        <v>980</v>
      </c>
    </row>
    <row r="6" spans="1:9" ht="26.25">
      <c r="A6" s="776" t="s">
        <v>6</v>
      </c>
      <c r="B6" s="779" t="str">
        <f>+CONCATENATE("Pénzkészlet ",LEFT('[1]ÖSSZEFÜGGÉSEK'!A3,4),". január 1-jén",CHAR(10),"ebből:")</f>
        <v>Pénzkészlet . január 1-jén
ebből:</v>
      </c>
      <c r="C6" s="791">
        <f aca="true" t="shared" si="0" ref="C6:H6">C7+C8</f>
        <v>169807179</v>
      </c>
      <c r="D6" s="782">
        <f t="shared" si="0"/>
        <v>4089546</v>
      </c>
      <c r="E6" s="782">
        <f t="shared" si="0"/>
        <v>2396663</v>
      </c>
      <c r="F6" s="792">
        <f t="shared" si="0"/>
        <v>5843547</v>
      </c>
      <c r="G6" s="782">
        <f t="shared" si="0"/>
        <v>2327952</v>
      </c>
      <c r="H6" s="792">
        <f t="shared" si="0"/>
        <v>1498204</v>
      </c>
      <c r="I6" s="802">
        <f>SUM(C6:H6)</f>
        <v>185963091</v>
      </c>
    </row>
    <row r="7" spans="1:9" ht="12.75">
      <c r="A7" s="777" t="s">
        <v>7</v>
      </c>
      <c r="B7" s="780" t="s">
        <v>976</v>
      </c>
      <c r="C7" s="789">
        <v>169625361</v>
      </c>
      <c r="D7" s="783">
        <v>3999465</v>
      </c>
      <c r="E7" s="783">
        <v>2388708</v>
      </c>
      <c r="F7" s="793">
        <v>5547319</v>
      </c>
      <c r="G7" s="783">
        <v>2255207</v>
      </c>
      <c r="H7" s="793">
        <v>1369102</v>
      </c>
      <c r="I7" s="803">
        <f aca="true" t="shared" si="1" ref="I7:I14">SUM(C7:H7)</f>
        <v>185185162</v>
      </c>
    </row>
    <row r="8" spans="1:9" ht="12.75">
      <c r="A8" s="785" t="s">
        <v>8</v>
      </c>
      <c r="B8" s="780" t="s">
        <v>977</v>
      </c>
      <c r="C8" s="789">
        <v>181818</v>
      </c>
      <c r="D8" s="783">
        <v>90081</v>
      </c>
      <c r="E8" s="783">
        <v>7955</v>
      </c>
      <c r="F8" s="793">
        <v>296228</v>
      </c>
      <c r="G8" s="783">
        <v>72745</v>
      </c>
      <c r="H8" s="793">
        <v>129102</v>
      </c>
      <c r="I8" s="803">
        <f t="shared" si="1"/>
        <v>777929</v>
      </c>
    </row>
    <row r="9" spans="1:9" ht="12.75">
      <c r="A9" s="777" t="s">
        <v>9</v>
      </c>
      <c r="B9" s="787" t="s">
        <v>978</v>
      </c>
      <c r="C9" s="789">
        <f>2673045248-170322993</f>
        <v>2502722255</v>
      </c>
      <c r="D9" s="783">
        <f>' 7..sz. mell Hivatal'!E40-' 7..sz. mell Hivatal'!E37</f>
        <v>137653977</v>
      </c>
      <c r="E9" s="783">
        <f>'8. sz. mell. Családsegítő'!E40-'8. sz. mell. Családsegítő'!E37</f>
        <v>60186737</v>
      </c>
      <c r="F9" s="793">
        <f>'9. sz. mell VGSZ'!E40-'9. sz. mell VGSZ'!E37</f>
        <v>482157981</v>
      </c>
      <c r="G9" s="783">
        <f>'10.sz. mell. Könyvtár'!F40-'10.sz. mell. Könyvtár'!F37</f>
        <v>66216857</v>
      </c>
      <c r="H9" s="793">
        <f>'11.sz. mell. Óvoda'!E40-'11.sz. mell. Óvoda'!E37</f>
        <v>302724168</v>
      </c>
      <c r="I9" s="803">
        <f t="shared" si="1"/>
        <v>3551661975</v>
      </c>
    </row>
    <row r="10" spans="1:9" ht="12.75">
      <c r="A10" s="785" t="s">
        <v>10</v>
      </c>
      <c r="B10" s="787" t="s">
        <v>979</v>
      </c>
      <c r="C10" s="789">
        <v>1562728915</v>
      </c>
      <c r="D10" s="783">
        <f>' 7..sz. mell Hivatal'!F55</f>
        <v>141019399</v>
      </c>
      <c r="E10" s="783">
        <f>'8. sz. mell. Családsegítő'!E55</f>
        <v>64101984</v>
      </c>
      <c r="F10" s="793">
        <f>'9. sz. mell VGSZ'!E55</f>
        <v>473315910</v>
      </c>
      <c r="G10" s="783">
        <f>'10.sz. mell. Könyvtár'!E55</f>
        <v>66970925</v>
      </c>
      <c r="H10" s="793">
        <f>'11.sz. mell. Óvoda'!E55</f>
        <v>298585074</v>
      </c>
      <c r="I10" s="803">
        <f t="shared" si="1"/>
        <v>2606722207</v>
      </c>
    </row>
    <row r="11" spans="1:9" ht="13.5" thickBot="1">
      <c r="A11" s="786" t="s">
        <v>11</v>
      </c>
      <c r="B11" s="788" t="s">
        <v>982</v>
      </c>
      <c r="C11" s="790">
        <v>3130997</v>
      </c>
      <c r="D11" s="784">
        <v>158362</v>
      </c>
      <c r="E11" s="784">
        <v>1863519</v>
      </c>
      <c r="F11" s="794">
        <v>-5958688</v>
      </c>
      <c r="G11" s="784">
        <v>932838</v>
      </c>
      <c r="H11" s="794">
        <v>-3682437</v>
      </c>
      <c r="I11" s="804">
        <f t="shared" si="1"/>
        <v>-3555409</v>
      </c>
    </row>
    <row r="12" spans="1:9" ht="26.25">
      <c r="A12" s="776" t="s">
        <v>12</v>
      </c>
      <c r="B12" s="779" t="str">
        <f>+CONCATENATE("Záró pénzkészlet ",LEFT('[1]ÖSSZEFÜGGÉSEK'!A3,4),". december 31-én",CHAR(10),"ebből:")</f>
        <v>Záró pénzkészlet . december 31-én
ebből:</v>
      </c>
      <c r="C12" s="782">
        <f aca="true" t="shared" si="2" ref="C12:H12">C6+C9-C10+C11</f>
        <v>1112931516</v>
      </c>
      <c r="D12" s="767">
        <f t="shared" si="2"/>
        <v>882486</v>
      </c>
      <c r="E12" s="767">
        <f t="shared" si="2"/>
        <v>344935</v>
      </c>
      <c r="F12" s="767">
        <f t="shared" si="2"/>
        <v>8726930</v>
      </c>
      <c r="G12" s="767">
        <f t="shared" si="2"/>
        <v>2506722</v>
      </c>
      <c r="H12" s="797">
        <f t="shared" si="2"/>
        <v>1954861</v>
      </c>
      <c r="I12" s="802">
        <f t="shared" si="1"/>
        <v>1127347450</v>
      </c>
    </row>
    <row r="13" spans="1:9" ht="12.75">
      <c r="A13" s="777" t="s">
        <v>13</v>
      </c>
      <c r="B13" s="780" t="s">
        <v>976</v>
      </c>
      <c r="C13" s="783">
        <v>1112654840</v>
      </c>
      <c r="D13" s="768">
        <v>612006</v>
      </c>
      <c r="E13" s="768">
        <v>339770</v>
      </c>
      <c r="F13" s="768">
        <v>8490440</v>
      </c>
      <c r="G13" s="768">
        <v>2403572</v>
      </c>
      <c r="H13" s="798">
        <v>1703901</v>
      </c>
      <c r="I13" s="803">
        <f t="shared" si="1"/>
        <v>1126204529</v>
      </c>
    </row>
    <row r="14" spans="1:9" ht="13.5" thickBot="1">
      <c r="A14" s="778" t="s">
        <v>14</v>
      </c>
      <c r="B14" s="781" t="s">
        <v>977</v>
      </c>
      <c r="C14" s="784">
        <v>276676</v>
      </c>
      <c r="D14" s="769">
        <v>270480</v>
      </c>
      <c r="E14" s="769">
        <v>5165</v>
      </c>
      <c r="F14" s="769">
        <v>236490</v>
      </c>
      <c r="G14" s="769">
        <v>103150</v>
      </c>
      <c r="H14" s="799">
        <v>250960</v>
      </c>
      <c r="I14" s="804">
        <f t="shared" si="1"/>
        <v>1142921</v>
      </c>
    </row>
  </sheetData>
  <sheetProtection/>
  <mergeCells count="4">
    <mergeCell ref="B4:B5"/>
    <mergeCell ref="A4:A5"/>
    <mergeCell ref="A2:I2"/>
    <mergeCell ref="A1:I1"/>
  </mergeCells>
  <conditionalFormatting sqref="C12:H12">
    <cfRule type="cellIs" priority="1" dxfId="2" operator="notEqual" stopIfTrue="1">
      <formula>SUM(C13:C14)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T100"/>
  <sheetViews>
    <sheetView zoomScale="120" zoomScaleNormal="120" zoomScaleSheetLayoutView="100" workbookViewId="0" topLeftCell="A1">
      <selection activeCell="O25" sqref="O25"/>
    </sheetView>
  </sheetViews>
  <sheetFormatPr defaultColWidth="9.375" defaultRowHeight="12.75"/>
  <cols>
    <col min="1" max="1" width="50.75390625" style="479" customWidth="1"/>
    <col min="2" max="2" width="16.75390625" style="479" customWidth="1"/>
    <col min="3" max="3" width="16.75390625" style="495" customWidth="1"/>
    <col min="4" max="4" width="50.75390625" style="479" customWidth="1"/>
    <col min="5" max="6" width="16.75390625" style="479" customWidth="1"/>
    <col min="7" max="7" width="50.75390625" style="479" customWidth="1"/>
    <col min="8" max="9" width="16.75390625" style="479" customWidth="1"/>
    <col min="10" max="10" width="50.75390625" style="479" customWidth="1"/>
    <col min="11" max="12" width="16.75390625" style="479" customWidth="1"/>
    <col min="13" max="13" width="50.625" style="479" customWidth="1"/>
    <col min="14" max="15" width="16.75390625" style="479" customWidth="1"/>
    <col min="16" max="16" width="50.75390625" style="479" customWidth="1"/>
    <col min="17" max="20" width="16.75390625" style="479" customWidth="1"/>
    <col min="21" max="16384" width="9.375" style="479" customWidth="1"/>
  </cols>
  <sheetData>
    <row r="1" spans="1:20" ht="15.75" customHeight="1">
      <c r="A1" s="885" t="s">
        <v>695</v>
      </c>
      <c r="B1" s="886"/>
      <c r="C1" s="887"/>
      <c r="D1" s="890" t="s">
        <v>676</v>
      </c>
      <c r="E1" s="891"/>
      <c r="F1" s="892"/>
      <c r="G1" s="885" t="s">
        <v>853</v>
      </c>
      <c r="H1" s="886"/>
      <c r="I1" s="887"/>
      <c r="J1" s="885" t="s">
        <v>679</v>
      </c>
      <c r="K1" s="886"/>
      <c r="L1" s="887"/>
      <c r="M1" s="885" t="s">
        <v>855</v>
      </c>
      <c r="N1" s="886"/>
      <c r="O1" s="887"/>
      <c r="P1" s="885" t="s">
        <v>854</v>
      </c>
      <c r="Q1" s="886"/>
      <c r="R1" s="887"/>
      <c r="S1" s="888" t="s">
        <v>38</v>
      </c>
      <c r="T1" s="889"/>
    </row>
    <row r="2" spans="1:20" ht="15.75" customHeight="1">
      <c r="A2" s="489" t="s">
        <v>47</v>
      </c>
      <c r="B2" s="490" t="s">
        <v>721</v>
      </c>
      <c r="C2" s="491" t="s">
        <v>722</v>
      </c>
      <c r="D2" s="492" t="s">
        <v>47</v>
      </c>
      <c r="E2" s="493" t="s">
        <v>721</v>
      </c>
      <c r="F2" s="494" t="s">
        <v>722</v>
      </c>
      <c r="G2" s="492" t="s">
        <v>47</v>
      </c>
      <c r="H2" s="493" t="s">
        <v>721</v>
      </c>
      <c r="I2" s="494" t="s">
        <v>722</v>
      </c>
      <c r="J2" s="492" t="s">
        <v>47</v>
      </c>
      <c r="K2" s="493" t="s">
        <v>721</v>
      </c>
      <c r="L2" s="494" t="s">
        <v>722</v>
      </c>
      <c r="M2" s="492" t="s">
        <v>47</v>
      </c>
      <c r="N2" s="493" t="s">
        <v>721</v>
      </c>
      <c r="O2" s="494" t="s">
        <v>722</v>
      </c>
      <c r="P2" s="492" t="s">
        <v>47</v>
      </c>
      <c r="Q2" s="493" t="s">
        <v>721</v>
      </c>
      <c r="R2" s="494" t="s">
        <v>722</v>
      </c>
      <c r="S2" s="496" t="s">
        <v>721</v>
      </c>
      <c r="T2" s="497" t="s">
        <v>722</v>
      </c>
    </row>
    <row r="3" spans="1:20" ht="12" customHeight="1">
      <c r="A3" s="473" t="s">
        <v>755</v>
      </c>
      <c r="B3" s="474">
        <v>194265</v>
      </c>
      <c r="C3" s="475">
        <v>100722</v>
      </c>
      <c r="D3" s="476" t="s">
        <v>755</v>
      </c>
      <c r="E3" s="477">
        <v>3569745</v>
      </c>
      <c r="F3" s="478">
        <v>3386200</v>
      </c>
      <c r="G3" s="476" t="s">
        <v>755</v>
      </c>
      <c r="H3" s="477">
        <v>0</v>
      </c>
      <c r="I3" s="478">
        <v>0</v>
      </c>
      <c r="J3" s="476" t="s">
        <v>755</v>
      </c>
      <c r="K3" s="477">
        <v>0</v>
      </c>
      <c r="L3" s="478">
        <v>0</v>
      </c>
      <c r="M3" s="476" t="s">
        <v>755</v>
      </c>
      <c r="N3" s="477">
        <v>112255</v>
      </c>
      <c r="O3" s="478">
        <v>0</v>
      </c>
      <c r="P3" s="476" t="s">
        <v>755</v>
      </c>
      <c r="Q3" s="477">
        <v>0</v>
      </c>
      <c r="R3" s="478">
        <v>0</v>
      </c>
      <c r="S3" s="498">
        <f>B3+E3+H3+K3+N3+Q3</f>
        <v>3876265</v>
      </c>
      <c r="T3" s="499">
        <f>C3+F3+I3+L3+O3+R3</f>
        <v>3486922</v>
      </c>
    </row>
    <row r="4" spans="1:20" ht="12" customHeight="1">
      <c r="A4" s="473" t="s">
        <v>756</v>
      </c>
      <c r="B4" s="474">
        <v>0</v>
      </c>
      <c r="C4" s="475">
        <v>0</v>
      </c>
      <c r="D4" s="476" t="s">
        <v>756</v>
      </c>
      <c r="E4" s="477">
        <v>0</v>
      </c>
      <c r="F4" s="478">
        <v>173228</v>
      </c>
      <c r="G4" s="476" t="s">
        <v>756</v>
      </c>
      <c r="H4" s="477">
        <v>0</v>
      </c>
      <c r="I4" s="478">
        <v>0</v>
      </c>
      <c r="J4" s="476" t="s">
        <v>756</v>
      </c>
      <c r="K4" s="477">
        <v>0</v>
      </c>
      <c r="L4" s="478">
        <v>0</v>
      </c>
      <c r="M4" s="476" t="s">
        <v>756</v>
      </c>
      <c r="N4" s="477">
        <v>0</v>
      </c>
      <c r="O4" s="478">
        <v>0</v>
      </c>
      <c r="P4" s="476" t="s">
        <v>756</v>
      </c>
      <c r="Q4" s="477">
        <v>0</v>
      </c>
      <c r="R4" s="478">
        <v>0</v>
      </c>
      <c r="S4" s="498">
        <f aca="true" t="shared" si="0" ref="S4:S25">B4+E4+H4+K4+N4+Q4</f>
        <v>0</v>
      </c>
      <c r="T4" s="499">
        <f aca="true" t="shared" si="1" ref="T4:T25">C4+F4+I4+L4+O4+R4</f>
        <v>173228</v>
      </c>
    </row>
    <row r="5" spans="1:20" ht="12" customHeight="1">
      <c r="A5" s="480" t="s">
        <v>757</v>
      </c>
      <c r="B5" s="481">
        <v>194265</v>
      </c>
      <c r="C5" s="482">
        <v>100722</v>
      </c>
      <c r="D5" s="483" t="s">
        <v>757</v>
      </c>
      <c r="E5" s="484">
        <v>3569745</v>
      </c>
      <c r="F5" s="485">
        <v>3559428</v>
      </c>
      <c r="G5" s="483" t="s">
        <v>757</v>
      </c>
      <c r="H5" s="484">
        <v>0</v>
      </c>
      <c r="I5" s="485">
        <v>0</v>
      </c>
      <c r="J5" s="483" t="s">
        <v>757</v>
      </c>
      <c r="K5" s="484">
        <v>0</v>
      </c>
      <c r="L5" s="485">
        <v>0</v>
      </c>
      <c r="M5" s="483" t="s">
        <v>757</v>
      </c>
      <c r="N5" s="484">
        <v>112255</v>
      </c>
      <c r="O5" s="485">
        <v>0</v>
      </c>
      <c r="P5" s="483" t="s">
        <v>757</v>
      </c>
      <c r="Q5" s="484">
        <v>0</v>
      </c>
      <c r="R5" s="485">
        <v>0</v>
      </c>
      <c r="S5" s="500">
        <f t="shared" si="0"/>
        <v>3876265</v>
      </c>
      <c r="T5" s="501">
        <f t="shared" si="1"/>
        <v>3660150</v>
      </c>
    </row>
    <row r="6" spans="1:20" ht="12" customHeight="1">
      <c r="A6" s="473" t="s">
        <v>758</v>
      </c>
      <c r="B6" s="474">
        <v>11872198842</v>
      </c>
      <c r="C6" s="475">
        <v>11594958136</v>
      </c>
      <c r="D6" s="476" t="s">
        <v>758</v>
      </c>
      <c r="E6" s="477">
        <v>0</v>
      </c>
      <c r="F6" s="478">
        <v>0</v>
      </c>
      <c r="G6" s="476" t="s">
        <v>758</v>
      </c>
      <c r="H6" s="477">
        <v>0</v>
      </c>
      <c r="I6" s="478">
        <v>0</v>
      </c>
      <c r="J6" s="476" t="s">
        <v>758</v>
      </c>
      <c r="K6" s="477">
        <v>8514992</v>
      </c>
      <c r="L6" s="478">
        <v>21637174</v>
      </c>
      <c r="M6" s="476" t="s">
        <v>758</v>
      </c>
      <c r="N6" s="477">
        <v>0</v>
      </c>
      <c r="O6" s="478">
        <v>0</v>
      </c>
      <c r="P6" s="476" t="s">
        <v>758</v>
      </c>
      <c r="Q6" s="477">
        <v>0</v>
      </c>
      <c r="R6" s="478">
        <v>0</v>
      </c>
      <c r="S6" s="498">
        <f t="shared" si="0"/>
        <v>11880713834</v>
      </c>
      <c r="T6" s="499">
        <f t="shared" si="1"/>
        <v>11616595310</v>
      </c>
    </row>
    <row r="7" spans="1:20" ht="12" customHeight="1">
      <c r="A7" s="473" t="s">
        <v>759</v>
      </c>
      <c r="B7" s="474">
        <v>239361024</v>
      </c>
      <c r="C7" s="475">
        <v>205838475</v>
      </c>
      <c r="D7" s="476" t="s">
        <v>759</v>
      </c>
      <c r="E7" s="477">
        <v>26568327</v>
      </c>
      <c r="F7" s="478">
        <v>24364861</v>
      </c>
      <c r="G7" s="476" t="s">
        <v>759</v>
      </c>
      <c r="H7" s="477">
        <v>3574685</v>
      </c>
      <c r="I7" s="478">
        <v>2619078</v>
      </c>
      <c r="J7" s="476" t="s">
        <v>759</v>
      </c>
      <c r="K7" s="477">
        <v>29147037</v>
      </c>
      <c r="L7" s="478">
        <v>14568014</v>
      </c>
      <c r="M7" s="476" t="s">
        <v>759</v>
      </c>
      <c r="N7" s="477">
        <v>1037939</v>
      </c>
      <c r="O7" s="478">
        <v>100000</v>
      </c>
      <c r="P7" s="476" t="s">
        <v>759</v>
      </c>
      <c r="Q7" s="477">
        <v>52862</v>
      </c>
      <c r="R7" s="478">
        <v>0</v>
      </c>
      <c r="S7" s="498">
        <f t="shared" si="0"/>
        <v>299741874</v>
      </c>
      <c r="T7" s="499">
        <f t="shared" si="1"/>
        <v>247490428</v>
      </c>
    </row>
    <row r="8" spans="1:20" ht="12" customHeight="1">
      <c r="A8" s="473" t="s">
        <v>760</v>
      </c>
      <c r="B8" s="474">
        <v>83380455</v>
      </c>
      <c r="C8" s="475">
        <v>22748802</v>
      </c>
      <c r="D8" s="476" t="s">
        <v>760</v>
      </c>
      <c r="E8" s="477">
        <v>28745305</v>
      </c>
      <c r="F8" s="478">
        <v>0</v>
      </c>
      <c r="G8" s="476" t="s">
        <v>760</v>
      </c>
      <c r="H8" s="477">
        <v>0</v>
      </c>
      <c r="I8" s="478">
        <v>0</v>
      </c>
      <c r="J8" s="476" t="s">
        <v>760</v>
      </c>
      <c r="K8" s="477">
        <v>0</v>
      </c>
      <c r="L8" s="478">
        <v>0</v>
      </c>
      <c r="M8" s="476" t="s">
        <v>760</v>
      </c>
      <c r="N8" s="477">
        <v>0</v>
      </c>
      <c r="O8" s="478">
        <v>0</v>
      </c>
      <c r="P8" s="476" t="s">
        <v>760</v>
      </c>
      <c r="Q8" s="477">
        <v>0</v>
      </c>
      <c r="R8" s="478">
        <v>0</v>
      </c>
      <c r="S8" s="498">
        <f t="shared" si="0"/>
        <v>112125760</v>
      </c>
      <c r="T8" s="499">
        <f t="shared" si="1"/>
        <v>22748802</v>
      </c>
    </row>
    <row r="9" spans="1:20" ht="12" customHeight="1">
      <c r="A9" s="480" t="s">
        <v>761</v>
      </c>
      <c r="B9" s="481">
        <v>12194940321</v>
      </c>
      <c r="C9" s="482">
        <v>11823545413</v>
      </c>
      <c r="D9" s="483" t="s">
        <v>761</v>
      </c>
      <c r="E9" s="484">
        <v>55313632</v>
      </c>
      <c r="F9" s="485">
        <v>24364861</v>
      </c>
      <c r="G9" s="483" t="s">
        <v>761</v>
      </c>
      <c r="H9" s="484">
        <v>3574685</v>
      </c>
      <c r="I9" s="485">
        <v>2619078</v>
      </c>
      <c r="J9" s="483" t="s">
        <v>761</v>
      </c>
      <c r="K9" s="484">
        <v>37662029</v>
      </c>
      <c r="L9" s="485">
        <v>36205188</v>
      </c>
      <c r="M9" s="483" t="s">
        <v>761</v>
      </c>
      <c r="N9" s="484">
        <v>1037939</v>
      </c>
      <c r="O9" s="485">
        <v>100000</v>
      </c>
      <c r="P9" s="483" t="s">
        <v>761</v>
      </c>
      <c r="Q9" s="484">
        <v>52862</v>
      </c>
      <c r="R9" s="485">
        <v>0</v>
      </c>
      <c r="S9" s="500">
        <f t="shared" si="0"/>
        <v>12292581468</v>
      </c>
      <c r="T9" s="501">
        <f t="shared" si="1"/>
        <v>11886834540</v>
      </c>
    </row>
    <row r="10" spans="1:20" ht="12" customHeight="1">
      <c r="A10" s="473" t="s">
        <v>762</v>
      </c>
      <c r="B10" s="474">
        <v>83500190</v>
      </c>
      <c r="C10" s="475">
        <v>83500190</v>
      </c>
      <c r="D10" s="476" t="s">
        <v>762</v>
      </c>
      <c r="E10" s="477">
        <v>0</v>
      </c>
      <c r="F10" s="478">
        <v>0</v>
      </c>
      <c r="G10" s="476" t="s">
        <v>762</v>
      </c>
      <c r="H10" s="477">
        <v>0</v>
      </c>
      <c r="I10" s="478">
        <v>0</v>
      </c>
      <c r="J10" s="476" t="s">
        <v>762</v>
      </c>
      <c r="K10" s="477">
        <v>0</v>
      </c>
      <c r="L10" s="478">
        <v>0</v>
      </c>
      <c r="M10" s="476" t="s">
        <v>762</v>
      </c>
      <c r="N10" s="477">
        <v>0</v>
      </c>
      <c r="O10" s="478">
        <v>0</v>
      </c>
      <c r="P10" s="476" t="s">
        <v>762</v>
      </c>
      <c r="Q10" s="477">
        <v>0</v>
      </c>
      <c r="R10" s="478">
        <v>0</v>
      </c>
      <c r="S10" s="498">
        <f t="shared" si="0"/>
        <v>83500190</v>
      </c>
      <c r="T10" s="499">
        <f t="shared" si="1"/>
        <v>83500190</v>
      </c>
    </row>
    <row r="11" spans="1:20" ht="12" customHeight="1">
      <c r="A11" s="473" t="s">
        <v>763</v>
      </c>
      <c r="B11" s="474">
        <v>83500190</v>
      </c>
      <c r="C11" s="475">
        <v>83500190</v>
      </c>
      <c r="D11" s="476" t="s">
        <v>763</v>
      </c>
      <c r="E11" s="477">
        <v>0</v>
      </c>
      <c r="F11" s="478">
        <v>0</v>
      </c>
      <c r="G11" s="476" t="s">
        <v>763</v>
      </c>
      <c r="H11" s="477">
        <v>0</v>
      </c>
      <c r="I11" s="478">
        <v>0</v>
      </c>
      <c r="J11" s="476" t="s">
        <v>763</v>
      </c>
      <c r="K11" s="477">
        <v>0</v>
      </c>
      <c r="L11" s="478">
        <v>0</v>
      </c>
      <c r="M11" s="476" t="s">
        <v>763</v>
      </c>
      <c r="N11" s="477">
        <v>0</v>
      </c>
      <c r="O11" s="478">
        <v>0</v>
      </c>
      <c r="P11" s="476" t="s">
        <v>763</v>
      </c>
      <c r="Q11" s="477">
        <v>0</v>
      </c>
      <c r="R11" s="478">
        <v>0</v>
      </c>
      <c r="S11" s="498">
        <f t="shared" si="0"/>
        <v>83500190</v>
      </c>
      <c r="T11" s="499">
        <f t="shared" si="1"/>
        <v>83500190</v>
      </c>
    </row>
    <row r="12" spans="1:20" ht="12" customHeight="1">
      <c r="A12" s="480" t="s">
        <v>764</v>
      </c>
      <c r="B12" s="481">
        <v>83500190</v>
      </c>
      <c r="C12" s="482">
        <v>83500190</v>
      </c>
      <c r="D12" s="483" t="s">
        <v>764</v>
      </c>
      <c r="E12" s="484">
        <v>0</v>
      </c>
      <c r="F12" s="485">
        <v>0</v>
      </c>
      <c r="G12" s="483" t="s">
        <v>764</v>
      </c>
      <c r="H12" s="484">
        <v>0</v>
      </c>
      <c r="I12" s="485">
        <v>0</v>
      </c>
      <c r="J12" s="483" t="s">
        <v>764</v>
      </c>
      <c r="K12" s="484">
        <v>0</v>
      </c>
      <c r="L12" s="485">
        <v>0</v>
      </c>
      <c r="M12" s="483" t="s">
        <v>764</v>
      </c>
      <c r="N12" s="484">
        <v>0</v>
      </c>
      <c r="O12" s="485">
        <v>0</v>
      </c>
      <c r="P12" s="483" t="s">
        <v>764</v>
      </c>
      <c r="Q12" s="484">
        <v>0</v>
      </c>
      <c r="R12" s="485">
        <v>0</v>
      </c>
      <c r="S12" s="498">
        <f t="shared" si="0"/>
        <v>83500190</v>
      </c>
      <c r="T12" s="499">
        <f t="shared" si="1"/>
        <v>83500190</v>
      </c>
    </row>
    <row r="13" spans="1:20" ht="12" customHeight="1">
      <c r="A13" s="480" t="s">
        <v>765</v>
      </c>
      <c r="B13" s="481">
        <v>12278634776</v>
      </c>
      <c r="C13" s="482">
        <v>11907146325</v>
      </c>
      <c r="D13" s="483" t="s">
        <v>765</v>
      </c>
      <c r="E13" s="484">
        <v>58883377</v>
      </c>
      <c r="F13" s="485">
        <v>27924289</v>
      </c>
      <c r="G13" s="483" t="s">
        <v>765</v>
      </c>
      <c r="H13" s="484">
        <v>3574685</v>
      </c>
      <c r="I13" s="485">
        <v>2619078</v>
      </c>
      <c r="J13" s="483" t="s">
        <v>765</v>
      </c>
      <c r="K13" s="484">
        <v>37662029</v>
      </c>
      <c r="L13" s="485">
        <v>36205188</v>
      </c>
      <c r="M13" s="483" t="s">
        <v>765</v>
      </c>
      <c r="N13" s="484">
        <v>1150194</v>
      </c>
      <c r="O13" s="485">
        <v>100000</v>
      </c>
      <c r="P13" s="483" t="s">
        <v>765</v>
      </c>
      <c r="Q13" s="484">
        <v>52862</v>
      </c>
      <c r="R13" s="485">
        <v>0</v>
      </c>
      <c r="S13" s="500">
        <f t="shared" si="0"/>
        <v>12379957923</v>
      </c>
      <c r="T13" s="501">
        <f t="shared" si="1"/>
        <v>11973994880</v>
      </c>
    </row>
    <row r="14" spans="1:20" ht="12" customHeight="1">
      <c r="A14" s="473" t="s">
        <v>766</v>
      </c>
      <c r="B14" s="474">
        <v>275684</v>
      </c>
      <c r="C14" s="475">
        <v>0</v>
      </c>
      <c r="D14" s="476" t="s">
        <v>766</v>
      </c>
      <c r="E14" s="477">
        <v>31787</v>
      </c>
      <c r="F14" s="478">
        <v>0</v>
      </c>
      <c r="G14" s="476" t="s">
        <v>766</v>
      </c>
      <c r="H14" s="477">
        <v>0</v>
      </c>
      <c r="I14" s="478">
        <v>0</v>
      </c>
      <c r="J14" s="476" t="s">
        <v>766</v>
      </c>
      <c r="K14" s="477">
        <v>1137179</v>
      </c>
      <c r="L14" s="478">
        <v>1333549</v>
      </c>
      <c r="M14" s="476" t="s">
        <v>766</v>
      </c>
      <c r="N14" s="477">
        <v>0</v>
      </c>
      <c r="O14" s="478">
        <v>0</v>
      </c>
      <c r="P14" s="476" t="s">
        <v>766</v>
      </c>
      <c r="Q14" s="477">
        <v>0</v>
      </c>
      <c r="R14" s="478">
        <v>0</v>
      </c>
      <c r="S14" s="498">
        <f t="shared" si="0"/>
        <v>1444650</v>
      </c>
      <c r="T14" s="499">
        <f t="shared" si="1"/>
        <v>1333549</v>
      </c>
    </row>
    <row r="15" spans="1:20" ht="12" customHeight="1">
      <c r="A15" s="473" t="s">
        <v>767</v>
      </c>
      <c r="B15" s="474">
        <v>0</v>
      </c>
      <c r="C15" s="475">
        <v>59315</v>
      </c>
      <c r="D15" s="476" t="s">
        <v>767</v>
      </c>
      <c r="E15" s="477">
        <v>0</v>
      </c>
      <c r="F15" s="478">
        <v>0</v>
      </c>
      <c r="G15" s="476" t="s">
        <v>767</v>
      </c>
      <c r="H15" s="477">
        <v>0</v>
      </c>
      <c r="I15" s="478">
        <v>0</v>
      </c>
      <c r="J15" s="476" t="s">
        <v>767</v>
      </c>
      <c r="K15" s="477">
        <v>0</v>
      </c>
      <c r="L15" s="478">
        <v>0</v>
      </c>
      <c r="M15" s="476" t="s">
        <v>767</v>
      </c>
      <c r="N15" s="477">
        <v>0</v>
      </c>
      <c r="O15" s="478">
        <v>0</v>
      </c>
      <c r="P15" s="476" t="s">
        <v>767</v>
      </c>
      <c r="Q15" s="477">
        <v>0</v>
      </c>
      <c r="R15" s="478">
        <v>0</v>
      </c>
      <c r="S15" s="498">
        <f t="shared" si="0"/>
        <v>0</v>
      </c>
      <c r="T15" s="499">
        <f t="shared" si="1"/>
        <v>59315</v>
      </c>
    </row>
    <row r="16" spans="1:20" ht="12" customHeight="1">
      <c r="A16" s="480" t="s">
        <v>768</v>
      </c>
      <c r="B16" s="481">
        <v>275684</v>
      </c>
      <c r="C16" s="482">
        <v>59315</v>
      </c>
      <c r="D16" s="483" t="s">
        <v>768</v>
      </c>
      <c r="E16" s="484">
        <v>31787</v>
      </c>
      <c r="F16" s="485">
        <v>0</v>
      </c>
      <c r="G16" s="483" t="s">
        <v>768</v>
      </c>
      <c r="H16" s="484">
        <v>0</v>
      </c>
      <c r="I16" s="485">
        <v>0</v>
      </c>
      <c r="J16" s="483" t="s">
        <v>768</v>
      </c>
      <c r="K16" s="484">
        <v>1137179</v>
      </c>
      <c r="L16" s="485">
        <v>1333549</v>
      </c>
      <c r="M16" s="483" t="s">
        <v>768</v>
      </c>
      <c r="N16" s="484">
        <v>0</v>
      </c>
      <c r="O16" s="485">
        <v>0</v>
      </c>
      <c r="P16" s="483" t="s">
        <v>768</v>
      </c>
      <c r="Q16" s="484">
        <v>0</v>
      </c>
      <c r="R16" s="485">
        <v>0</v>
      </c>
      <c r="S16" s="500">
        <f t="shared" si="0"/>
        <v>1444650</v>
      </c>
      <c r="T16" s="501">
        <f t="shared" si="1"/>
        <v>1392864</v>
      </c>
    </row>
    <row r="17" spans="1:20" ht="12" customHeight="1">
      <c r="A17" s="480" t="s">
        <v>769</v>
      </c>
      <c r="B17" s="481">
        <v>275684</v>
      </c>
      <c r="C17" s="482">
        <v>59315</v>
      </c>
      <c r="D17" s="483" t="s">
        <v>769</v>
      </c>
      <c r="E17" s="484">
        <v>31787</v>
      </c>
      <c r="F17" s="485">
        <v>0</v>
      </c>
      <c r="G17" s="483" t="s">
        <v>769</v>
      </c>
      <c r="H17" s="484">
        <v>0</v>
      </c>
      <c r="I17" s="485">
        <v>0</v>
      </c>
      <c r="J17" s="483" t="s">
        <v>769</v>
      </c>
      <c r="K17" s="484">
        <v>1137179</v>
      </c>
      <c r="L17" s="485">
        <v>1333549</v>
      </c>
      <c r="M17" s="483" t="s">
        <v>769</v>
      </c>
      <c r="N17" s="484">
        <v>0</v>
      </c>
      <c r="O17" s="485">
        <v>0</v>
      </c>
      <c r="P17" s="483" t="s">
        <v>769</v>
      </c>
      <c r="Q17" s="484">
        <v>0</v>
      </c>
      <c r="R17" s="485">
        <v>0</v>
      </c>
      <c r="S17" s="500">
        <f t="shared" si="0"/>
        <v>1444650</v>
      </c>
      <c r="T17" s="501">
        <f t="shared" si="1"/>
        <v>1392864</v>
      </c>
    </row>
    <row r="18" spans="1:20" ht="12" customHeight="1">
      <c r="A18" s="473" t="s">
        <v>770</v>
      </c>
      <c r="B18" s="474">
        <v>162640</v>
      </c>
      <c r="C18" s="475">
        <v>193185</v>
      </c>
      <c r="D18" s="476" t="s">
        <v>770</v>
      </c>
      <c r="E18" s="477">
        <v>4210</v>
      </c>
      <c r="F18" s="478">
        <v>186060</v>
      </c>
      <c r="G18" s="476" t="s">
        <v>770</v>
      </c>
      <c r="H18" s="477">
        <v>7955</v>
      </c>
      <c r="I18" s="478">
        <v>5165</v>
      </c>
      <c r="J18" s="476" t="s">
        <v>770</v>
      </c>
      <c r="K18" s="477">
        <v>296228</v>
      </c>
      <c r="L18" s="478">
        <v>236490</v>
      </c>
      <c r="M18" s="476" t="s">
        <v>770</v>
      </c>
      <c r="N18" s="477">
        <v>72745</v>
      </c>
      <c r="O18" s="478">
        <v>103150</v>
      </c>
      <c r="P18" s="476" t="s">
        <v>770</v>
      </c>
      <c r="Q18" s="477">
        <v>129102</v>
      </c>
      <c r="R18" s="478">
        <v>250960</v>
      </c>
      <c r="S18" s="498">
        <f t="shared" si="0"/>
        <v>672880</v>
      </c>
      <c r="T18" s="499">
        <f t="shared" si="1"/>
        <v>975010</v>
      </c>
    </row>
    <row r="19" spans="1:20" ht="12.75">
      <c r="A19" s="473" t="s">
        <v>771</v>
      </c>
      <c r="B19" s="474">
        <v>19178</v>
      </c>
      <c r="C19" s="475">
        <v>83491</v>
      </c>
      <c r="D19" s="476" t="s">
        <v>771</v>
      </c>
      <c r="E19" s="477">
        <v>85871</v>
      </c>
      <c r="F19" s="478">
        <v>84420</v>
      </c>
      <c r="G19" s="476" t="s">
        <v>771</v>
      </c>
      <c r="H19" s="477">
        <v>0</v>
      </c>
      <c r="I19" s="478">
        <v>0</v>
      </c>
      <c r="J19" s="476" t="s">
        <v>771</v>
      </c>
      <c r="K19" s="477">
        <v>0</v>
      </c>
      <c r="L19" s="478">
        <v>0</v>
      </c>
      <c r="M19" s="476" t="s">
        <v>771</v>
      </c>
      <c r="N19" s="477">
        <v>0</v>
      </c>
      <c r="O19" s="478">
        <v>0</v>
      </c>
      <c r="P19" s="476" t="s">
        <v>771</v>
      </c>
      <c r="Q19" s="477">
        <v>0</v>
      </c>
      <c r="R19" s="478">
        <v>0</v>
      </c>
      <c r="S19" s="498">
        <f t="shared" si="0"/>
        <v>105049</v>
      </c>
      <c r="T19" s="499">
        <f t="shared" si="1"/>
        <v>167911</v>
      </c>
    </row>
    <row r="20" spans="1:20" ht="14.25" customHeight="1">
      <c r="A20" s="480" t="s">
        <v>772</v>
      </c>
      <c r="B20" s="481">
        <v>181818</v>
      </c>
      <c r="C20" s="482">
        <v>276676</v>
      </c>
      <c r="D20" s="483" t="s">
        <v>772</v>
      </c>
      <c r="E20" s="484">
        <v>90081</v>
      </c>
      <c r="F20" s="485">
        <v>270480</v>
      </c>
      <c r="G20" s="483" t="s">
        <v>772</v>
      </c>
      <c r="H20" s="484">
        <v>7955</v>
      </c>
      <c r="I20" s="485">
        <v>5165</v>
      </c>
      <c r="J20" s="483" t="s">
        <v>772</v>
      </c>
      <c r="K20" s="484">
        <v>296228</v>
      </c>
      <c r="L20" s="485">
        <v>236490</v>
      </c>
      <c r="M20" s="483" t="s">
        <v>772</v>
      </c>
      <c r="N20" s="484">
        <v>72745</v>
      </c>
      <c r="O20" s="485">
        <v>103150</v>
      </c>
      <c r="P20" s="483" t="s">
        <v>772</v>
      </c>
      <c r="Q20" s="484">
        <v>129102</v>
      </c>
      <c r="R20" s="485">
        <v>250960</v>
      </c>
      <c r="S20" s="500">
        <f t="shared" si="0"/>
        <v>777929</v>
      </c>
      <c r="T20" s="501">
        <f t="shared" si="1"/>
        <v>1142921</v>
      </c>
    </row>
    <row r="21" spans="1:20" ht="12.75">
      <c r="A21" s="473" t="s">
        <v>773</v>
      </c>
      <c r="B21" s="474">
        <v>169625361</v>
      </c>
      <c r="C21" s="475">
        <v>1112654840</v>
      </c>
      <c r="D21" s="476" t="s">
        <v>773</v>
      </c>
      <c r="E21" s="477">
        <v>3999465</v>
      </c>
      <c r="F21" s="478">
        <v>612006</v>
      </c>
      <c r="G21" s="476" t="s">
        <v>773</v>
      </c>
      <c r="H21" s="477">
        <v>2388708</v>
      </c>
      <c r="I21" s="478">
        <v>339770</v>
      </c>
      <c r="J21" s="476" t="s">
        <v>773</v>
      </c>
      <c r="K21" s="477">
        <v>5547319</v>
      </c>
      <c r="L21" s="478">
        <v>8490440</v>
      </c>
      <c r="M21" s="476" t="s">
        <v>773</v>
      </c>
      <c r="N21" s="477">
        <v>2255207</v>
      </c>
      <c r="O21" s="478">
        <v>2403572</v>
      </c>
      <c r="P21" s="476" t="s">
        <v>773</v>
      </c>
      <c r="Q21" s="477">
        <v>1369102</v>
      </c>
      <c r="R21" s="478">
        <v>1703901</v>
      </c>
      <c r="S21" s="498">
        <f t="shared" si="0"/>
        <v>185185162</v>
      </c>
      <c r="T21" s="499">
        <f t="shared" si="1"/>
        <v>1126204529</v>
      </c>
    </row>
    <row r="22" spans="1:20" ht="12.75">
      <c r="A22" s="480" t="s">
        <v>774</v>
      </c>
      <c r="B22" s="481">
        <v>169625361</v>
      </c>
      <c r="C22" s="482">
        <v>1112654840</v>
      </c>
      <c r="D22" s="483" t="s">
        <v>774</v>
      </c>
      <c r="E22" s="484">
        <v>3999465</v>
      </c>
      <c r="F22" s="485">
        <v>612006</v>
      </c>
      <c r="G22" s="483" t="s">
        <v>774</v>
      </c>
      <c r="H22" s="484">
        <v>2388708</v>
      </c>
      <c r="I22" s="485">
        <v>339770</v>
      </c>
      <c r="J22" s="483" t="s">
        <v>774</v>
      </c>
      <c r="K22" s="484">
        <v>5547319</v>
      </c>
      <c r="L22" s="485">
        <v>8490440</v>
      </c>
      <c r="M22" s="483" t="s">
        <v>774</v>
      </c>
      <c r="N22" s="484">
        <v>2255207</v>
      </c>
      <c r="O22" s="485">
        <v>2403572</v>
      </c>
      <c r="P22" s="483" t="s">
        <v>774</v>
      </c>
      <c r="Q22" s="484">
        <v>1369102</v>
      </c>
      <c r="R22" s="485">
        <v>1703901</v>
      </c>
      <c r="S22" s="500">
        <f t="shared" si="0"/>
        <v>185185162</v>
      </c>
      <c r="T22" s="501">
        <f t="shared" si="1"/>
        <v>1126204529</v>
      </c>
    </row>
    <row r="23" spans="1:20" ht="12.75">
      <c r="A23" s="480" t="s">
        <v>775</v>
      </c>
      <c r="B23" s="481">
        <v>169807179</v>
      </c>
      <c r="C23" s="482">
        <v>1112931516</v>
      </c>
      <c r="D23" s="483" t="s">
        <v>775</v>
      </c>
      <c r="E23" s="484">
        <v>4089546</v>
      </c>
      <c r="F23" s="485">
        <v>882486</v>
      </c>
      <c r="G23" s="483" t="s">
        <v>775</v>
      </c>
      <c r="H23" s="484">
        <v>2396663</v>
      </c>
      <c r="I23" s="485">
        <v>344935</v>
      </c>
      <c r="J23" s="483" t="s">
        <v>775</v>
      </c>
      <c r="K23" s="484">
        <v>5843547</v>
      </c>
      <c r="L23" s="485">
        <v>8726930</v>
      </c>
      <c r="M23" s="483" t="s">
        <v>775</v>
      </c>
      <c r="N23" s="484">
        <v>2327952</v>
      </c>
      <c r="O23" s="485">
        <v>2506722</v>
      </c>
      <c r="P23" s="483" t="s">
        <v>775</v>
      </c>
      <c r="Q23" s="484">
        <v>1498204</v>
      </c>
      <c r="R23" s="485">
        <v>1954861</v>
      </c>
      <c r="S23" s="500">
        <f t="shared" si="0"/>
        <v>185963091</v>
      </c>
      <c r="T23" s="501">
        <f t="shared" si="1"/>
        <v>1127347450</v>
      </c>
    </row>
    <row r="24" spans="1:20" ht="26.25">
      <c r="A24" s="473" t="s">
        <v>776</v>
      </c>
      <c r="B24" s="474">
        <v>97496060</v>
      </c>
      <c r="C24" s="475">
        <v>61092366</v>
      </c>
      <c r="D24" s="476" t="s">
        <v>776</v>
      </c>
      <c r="E24" s="477">
        <v>0</v>
      </c>
      <c r="F24" s="478">
        <v>0</v>
      </c>
      <c r="G24" s="476" t="s">
        <v>776</v>
      </c>
      <c r="H24" s="477">
        <v>0</v>
      </c>
      <c r="I24" s="478">
        <v>0</v>
      </c>
      <c r="J24" s="476" t="s">
        <v>776</v>
      </c>
      <c r="K24" s="477">
        <v>0</v>
      </c>
      <c r="L24" s="478">
        <v>0</v>
      </c>
      <c r="M24" s="476" t="s">
        <v>776</v>
      </c>
      <c r="N24" s="477">
        <v>0</v>
      </c>
      <c r="O24" s="478">
        <v>0</v>
      </c>
      <c r="P24" s="476" t="s">
        <v>776</v>
      </c>
      <c r="Q24" s="477">
        <v>0</v>
      </c>
      <c r="R24" s="478">
        <v>0</v>
      </c>
      <c r="S24" s="498">
        <f t="shared" si="0"/>
        <v>97496060</v>
      </c>
      <c r="T24" s="499">
        <f t="shared" si="1"/>
        <v>61092366</v>
      </c>
    </row>
    <row r="25" spans="1:20" ht="26.25">
      <c r="A25" s="473" t="s">
        <v>777</v>
      </c>
      <c r="B25" s="474">
        <v>0</v>
      </c>
      <c r="C25" s="475">
        <v>6400</v>
      </c>
      <c r="D25" s="476" t="s">
        <v>777</v>
      </c>
      <c r="E25" s="477">
        <v>0</v>
      </c>
      <c r="F25" s="478">
        <v>0</v>
      </c>
      <c r="G25" s="476" t="s">
        <v>777</v>
      </c>
      <c r="H25" s="477">
        <v>0</v>
      </c>
      <c r="I25" s="478">
        <v>0</v>
      </c>
      <c r="J25" s="476" t="s">
        <v>777</v>
      </c>
      <c r="K25" s="477">
        <v>0</v>
      </c>
      <c r="L25" s="478">
        <v>0</v>
      </c>
      <c r="M25" s="476" t="s">
        <v>777</v>
      </c>
      <c r="N25" s="477">
        <v>0</v>
      </c>
      <c r="O25" s="478">
        <v>0</v>
      </c>
      <c r="P25" s="476" t="s">
        <v>777</v>
      </c>
      <c r="Q25" s="477">
        <v>0</v>
      </c>
      <c r="R25" s="478">
        <v>0</v>
      </c>
      <c r="S25" s="498">
        <f t="shared" si="0"/>
        <v>0</v>
      </c>
      <c r="T25" s="499">
        <f t="shared" si="1"/>
        <v>6400</v>
      </c>
    </row>
    <row r="26" spans="1:20" ht="12" customHeight="1">
      <c r="A26" s="473" t="s">
        <v>778</v>
      </c>
      <c r="B26" s="474">
        <v>7692153</v>
      </c>
      <c r="C26" s="475">
        <v>15097995</v>
      </c>
      <c r="D26" s="476" t="s">
        <v>778</v>
      </c>
      <c r="E26" s="477">
        <v>0</v>
      </c>
      <c r="F26" s="478">
        <v>0</v>
      </c>
      <c r="G26" s="476" t="s">
        <v>778</v>
      </c>
      <c r="H26" s="477">
        <v>0</v>
      </c>
      <c r="I26" s="478">
        <v>0</v>
      </c>
      <c r="J26" s="476" t="s">
        <v>778</v>
      </c>
      <c r="K26" s="477">
        <v>0</v>
      </c>
      <c r="L26" s="478">
        <v>0</v>
      </c>
      <c r="M26" s="476" t="s">
        <v>778</v>
      </c>
      <c r="N26" s="477">
        <v>0</v>
      </c>
      <c r="O26" s="478">
        <v>0</v>
      </c>
      <c r="P26" s="476" t="s">
        <v>778</v>
      </c>
      <c r="Q26" s="477">
        <v>0</v>
      </c>
      <c r="R26" s="478">
        <v>0</v>
      </c>
      <c r="S26" s="498">
        <f aca="true" t="shared" si="2" ref="S26:S47">B26+E26+H26+K26+N26+Q26</f>
        <v>7692153</v>
      </c>
      <c r="T26" s="499">
        <f aca="true" t="shared" si="3" ref="T26:T47">C26+F26+I26+L26+O26+R26</f>
        <v>15097995</v>
      </c>
    </row>
    <row r="27" spans="1:20" ht="12" customHeight="1">
      <c r="A27" s="473" t="s">
        <v>779</v>
      </c>
      <c r="B27" s="474">
        <v>80414009</v>
      </c>
      <c r="C27" s="475">
        <v>42781068</v>
      </c>
      <c r="D27" s="476" t="s">
        <v>779</v>
      </c>
      <c r="E27" s="477">
        <v>0</v>
      </c>
      <c r="F27" s="478">
        <v>0</v>
      </c>
      <c r="G27" s="476" t="s">
        <v>779</v>
      </c>
      <c r="H27" s="477">
        <v>0</v>
      </c>
      <c r="I27" s="478">
        <v>0</v>
      </c>
      <c r="J27" s="476" t="s">
        <v>779</v>
      </c>
      <c r="K27" s="477">
        <v>0</v>
      </c>
      <c r="L27" s="478">
        <v>0</v>
      </c>
      <c r="M27" s="476" t="s">
        <v>779</v>
      </c>
      <c r="N27" s="477">
        <v>0</v>
      </c>
      <c r="O27" s="478">
        <v>0</v>
      </c>
      <c r="P27" s="476" t="s">
        <v>779</v>
      </c>
      <c r="Q27" s="477">
        <v>0</v>
      </c>
      <c r="R27" s="478">
        <v>0</v>
      </c>
      <c r="S27" s="498">
        <f t="shared" si="2"/>
        <v>80414009</v>
      </c>
      <c r="T27" s="499">
        <f t="shared" si="3"/>
        <v>42781068</v>
      </c>
    </row>
    <row r="28" spans="1:20" ht="12" customHeight="1">
      <c r="A28" s="473" t="s">
        <v>780</v>
      </c>
      <c r="B28" s="474">
        <v>9389898</v>
      </c>
      <c r="C28" s="475">
        <v>3206903</v>
      </c>
      <c r="D28" s="476" t="s">
        <v>780</v>
      </c>
      <c r="E28" s="477">
        <v>0</v>
      </c>
      <c r="F28" s="478">
        <v>0</v>
      </c>
      <c r="G28" s="476" t="s">
        <v>780</v>
      </c>
      <c r="H28" s="477">
        <v>0</v>
      </c>
      <c r="I28" s="478">
        <v>0</v>
      </c>
      <c r="J28" s="476" t="s">
        <v>780</v>
      </c>
      <c r="K28" s="477">
        <v>0</v>
      </c>
      <c r="L28" s="478">
        <v>0</v>
      </c>
      <c r="M28" s="476" t="s">
        <v>780</v>
      </c>
      <c r="N28" s="477">
        <v>0</v>
      </c>
      <c r="O28" s="478">
        <v>0</v>
      </c>
      <c r="P28" s="476" t="s">
        <v>780</v>
      </c>
      <c r="Q28" s="477">
        <v>0</v>
      </c>
      <c r="R28" s="478">
        <v>0</v>
      </c>
      <c r="S28" s="498">
        <f t="shared" si="2"/>
        <v>9389898</v>
      </c>
      <c r="T28" s="499">
        <f t="shared" si="3"/>
        <v>3206903</v>
      </c>
    </row>
    <row r="29" spans="1:20" ht="12" customHeight="1">
      <c r="A29" s="473" t="s">
        <v>781</v>
      </c>
      <c r="B29" s="474">
        <v>26525912</v>
      </c>
      <c r="C29" s="475">
        <v>26434872</v>
      </c>
      <c r="D29" s="476" t="s">
        <v>781</v>
      </c>
      <c r="E29" s="477">
        <v>247915</v>
      </c>
      <c r="F29" s="478">
        <v>1280</v>
      </c>
      <c r="G29" s="476" t="s">
        <v>781</v>
      </c>
      <c r="H29" s="477">
        <v>0</v>
      </c>
      <c r="I29" s="478">
        <v>0</v>
      </c>
      <c r="J29" s="476" t="s">
        <v>781</v>
      </c>
      <c r="K29" s="477">
        <v>4691123</v>
      </c>
      <c r="L29" s="478">
        <v>6809845</v>
      </c>
      <c r="M29" s="476" t="s">
        <v>781</v>
      </c>
      <c r="N29" s="477">
        <v>100000</v>
      </c>
      <c r="O29" s="478">
        <v>320000</v>
      </c>
      <c r="P29" s="476" t="s">
        <v>781</v>
      </c>
      <c r="Q29" s="477">
        <v>0</v>
      </c>
      <c r="R29" s="478">
        <v>0</v>
      </c>
      <c r="S29" s="498">
        <f t="shared" si="2"/>
        <v>31564950</v>
      </c>
      <c r="T29" s="499">
        <f t="shared" si="3"/>
        <v>33565997</v>
      </c>
    </row>
    <row r="30" spans="1:20" ht="12" customHeight="1">
      <c r="A30" s="473" t="s">
        <v>782</v>
      </c>
      <c r="B30" s="474">
        <v>19246143</v>
      </c>
      <c r="C30" s="475">
        <v>19849326</v>
      </c>
      <c r="D30" s="476" t="s">
        <v>782</v>
      </c>
      <c r="E30" s="477">
        <v>194225</v>
      </c>
      <c r="F30" s="478">
        <v>24</v>
      </c>
      <c r="G30" s="476" t="s">
        <v>782</v>
      </c>
      <c r="H30" s="477">
        <v>0</v>
      </c>
      <c r="I30" s="478">
        <v>0</v>
      </c>
      <c r="J30" s="476" t="s">
        <v>782</v>
      </c>
      <c r="K30" s="477">
        <v>4319917</v>
      </c>
      <c r="L30" s="478">
        <v>5905909</v>
      </c>
      <c r="M30" s="476" t="s">
        <v>782</v>
      </c>
      <c r="N30" s="477">
        <v>100000</v>
      </c>
      <c r="O30" s="478">
        <v>320000</v>
      </c>
      <c r="P30" s="476" t="s">
        <v>782</v>
      </c>
      <c r="Q30" s="477">
        <v>0</v>
      </c>
      <c r="R30" s="478">
        <v>0</v>
      </c>
      <c r="S30" s="498">
        <f t="shared" si="2"/>
        <v>23860285</v>
      </c>
      <c r="T30" s="499">
        <f t="shared" si="3"/>
        <v>26075259</v>
      </c>
    </row>
    <row r="31" spans="1:20" ht="12" customHeight="1">
      <c r="A31" s="473" t="s">
        <v>783</v>
      </c>
      <c r="B31" s="474">
        <v>1524579</v>
      </c>
      <c r="C31" s="475">
        <v>830358</v>
      </c>
      <c r="D31" s="476" t="s">
        <v>783</v>
      </c>
      <c r="E31" s="477">
        <v>52440</v>
      </c>
      <c r="F31" s="478">
        <v>6</v>
      </c>
      <c r="G31" s="476" t="s">
        <v>783</v>
      </c>
      <c r="H31" s="477">
        <v>0</v>
      </c>
      <c r="I31" s="478">
        <v>0</v>
      </c>
      <c r="J31" s="476" t="s">
        <v>783</v>
      </c>
      <c r="K31" s="477">
        <v>371206</v>
      </c>
      <c r="L31" s="478">
        <v>903936</v>
      </c>
      <c r="M31" s="476" t="s">
        <v>783</v>
      </c>
      <c r="N31" s="477">
        <v>0</v>
      </c>
      <c r="O31" s="478">
        <v>0</v>
      </c>
      <c r="P31" s="476" t="s">
        <v>783</v>
      </c>
      <c r="Q31" s="477">
        <v>0</v>
      </c>
      <c r="R31" s="478">
        <v>0</v>
      </c>
      <c r="S31" s="498">
        <f t="shared" si="2"/>
        <v>1948225</v>
      </c>
      <c r="T31" s="499">
        <f t="shared" si="3"/>
        <v>1734300</v>
      </c>
    </row>
    <row r="32" spans="1:20" ht="12" customHeight="1">
      <c r="A32" s="473" t="s">
        <v>784</v>
      </c>
      <c r="B32" s="474">
        <v>5755188</v>
      </c>
      <c r="C32" s="475">
        <v>5755188</v>
      </c>
      <c r="D32" s="476" t="s">
        <v>784</v>
      </c>
      <c r="E32" s="477">
        <v>0</v>
      </c>
      <c r="F32" s="478">
        <v>0</v>
      </c>
      <c r="G32" s="476" t="s">
        <v>784</v>
      </c>
      <c r="H32" s="477">
        <v>0</v>
      </c>
      <c r="I32" s="478">
        <v>0</v>
      </c>
      <c r="J32" s="476" t="s">
        <v>784</v>
      </c>
      <c r="K32" s="477">
        <v>0</v>
      </c>
      <c r="L32" s="478">
        <v>0</v>
      </c>
      <c r="M32" s="476" t="s">
        <v>784</v>
      </c>
      <c r="N32" s="477">
        <v>0</v>
      </c>
      <c r="O32" s="478">
        <v>0</v>
      </c>
      <c r="P32" s="476" t="s">
        <v>784</v>
      </c>
      <c r="Q32" s="477">
        <v>0</v>
      </c>
      <c r="R32" s="478">
        <v>0</v>
      </c>
      <c r="S32" s="498">
        <f t="shared" si="2"/>
        <v>5755188</v>
      </c>
      <c r="T32" s="499">
        <f t="shared" si="3"/>
        <v>5755188</v>
      </c>
    </row>
    <row r="33" spans="1:20" ht="12" customHeight="1">
      <c r="A33" s="473" t="s">
        <v>785</v>
      </c>
      <c r="B33" s="474">
        <v>2</v>
      </c>
      <c r="C33" s="475">
        <v>0</v>
      </c>
      <c r="D33" s="476" t="s">
        <v>785</v>
      </c>
      <c r="E33" s="477">
        <v>1250</v>
      </c>
      <c r="F33" s="478">
        <v>1250</v>
      </c>
      <c r="G33" s="476" t="s">
        <v>785</v>
      </c>
      <c r="H33" s="477">
        <v>0</v>
      </c>
      <c r="I33" s="478">
        <v>0</v>
      </c>
      <c r="J33" s="476" t="s">
        <v>785</v>
      </c>
      <c r="K33" s="477">
        <v>0</v>
      </c>
      <c r="L33" s="478">
        <v>0</v>
      </c>
      <c r="M33" s="476" t="s">
        <v>785</v>
      </c>
      <c r="N33" s="477">
        <v>0</v>
      </c>
      <c r="O33" s="478">
        <v>0</v>
      </c>
      <c r="P33" s="476" t="s">
        <v>785</v>
      </c>
      <c r="Q33" s="477">
        <v>0</v>
      </c>
      <c r="R33" s="478">
        <v>0</v>
      </c>
      <c r="S33" s="498">
        <f t="shared" si="2"/>
        <v>1252</v>
      </c>
      <c r="T33" s="499">
        <f t="shared" si="3"/>
        <v>1250</v>
      </c>
    </row>
    <row r="34" spans="1:20" ht="12" customHeight="1">
      <c r="A34" s="473" t="s">
        <v>786</v>
      </c>
      <c r="B34" s="474">
        <v>120014</v>
      </c>
      <c r="C34" s="475">
        <v>287196</v>
      </c>
      <c r="D34" s="476" t="s">
        <v>786</v>
      </c>
      <c r="E34" s="477">
        <v>0</v>
      </c>
      <c r="F34" s="478">
        <v>0</v>
      </c>
      <c r="G34" s="476" t="s">
        <v>786</v>
      </c>
      <c r="H34" s="477">
        <v>0</v>
      </c>
      <c r="I34" s="478">
        <v>0</v>
      </c>
      <c r="J34" s="476" t="s">
        <v>786</v>
      </c>
      <c r="K34" s="477">
        <v>0</v>
      </c>
      <c r="L34" s="478">
        <v>0</v>
      </c>
      <c r="M34" s="476" t="s">
        <v>786</v>
      </c>
      <c r="N34" s="477">
        <v>0</v>
      </c>
      <c r="O34" s="478">
        <v>0</v>
      </c>
      <c r="P34" s="476" t="s">
        <v>786</v>
      </c>
      <c r="Q34" s="477">
        <v>0</v>
      </c>
      <c r="R34" s="478">
        <v>0</v>
      </c>
      <c r="S34" s="498">
        <f t="shared" si="2"/>
        <v>120014</v>
      </c>
      <c r="T34" s="499">
        <f t="shared" si="3"/>
        <v>287196</v>
      </c>
    </row>
    <row r="35" spans="1:20" ht="12" customHeight="1">
      <c r="A35" s="473" t="s">
        <v>787</v>
      </c>
      <c r="B35" s="474">
        <v>120014</v>
      </c>
      <c r="C35" s="475">
        <v>287196</v>
      </c>
      <c r="D35" s="476" t="s">
        <v>787</v>
      </c>
      <c r="E35" s="477">
        <v>0</v>
      </c>
      <c r="F35" s="478">
        <v>0</v>
      </c>
      <c r="G35" s="476" t="s">
        <v>787</v>
      </c>
      <c r="H35" s="477">
        <v>0</v>
      </c>
      <c r="I35" s="478">
        <v>0</v>
      </c>
      <c r="J35" s="476" t="s">
        <v>787</v>
      </c>
      <c r="K35" s="477">
        <v>0</v>
      </c>
      <c r="L35" s="478">
        <v>0</v>
      </c>
      <c r="M35" s="476" t="s">
        <v>787</v>
      </c>
      <c r="N35" s="477">
        <v>0</v>
      </c>
      <c r="O35" s="478">
        <v>0</v>
      </c>
      <c r="P35" s="476" t="s">
        <v>787</v>
      </c>
      <c r="Q35" s="477">
        <v>0</v>
      </c>
      <c r="R35" s="478">
        <v>0</v>
      </c>
      <c r="S35" s="498">
        <f t="shared" si="2"/>
        <v>120014</v>
      </c>
      <c r="T35" s="499">
        <f t="shared" si="3"/>
        <v>287196</v>
      </c>
    </row>
    <row r="36" spans="1:20" ht="20.25" customHeight="1">
      <c r="A36" s="473" t="s">
        <v>788</v>
      </c>
      <c r="B36" s="474">
        <v>5000000</v>
      </c>
      <c r="C36" s="475">
        <v>5000000</v>
      </c>
      <c r="D36" s="476" t="s">
        <v>788</v>
      </c>
      <c r="E36" s="477">
        <v>0</v>
      </c>
      <c r="F36" s="478">
        <v>0</v>
      </c>
      <c r="G36" s="476" t="s">
        <v>788</v>
      </c>
      <c r="H36" s="477">
        <v>0</v>
      </c>
      <c r="I36" s="478">
        <v>0</v>
      </c>
      <c r="J36" s="476" t="s">
        <v>788</v>
      </c>
      <c r="K36" s="477">
        <v>0</v>
      </c>
      <c r="L36" s="478">
        <v>0</v>
      </c>
      <c r="M36" s="476" t="s">
        <v>788</v>
      </c>
      <c r="N36" s="477">
        <v>0</v>
      </c>
      <c r="O36" s="478">
        <v>0</v>
      </c>
      <c r="P36" s="476" t="s">
        <v>788</v>
      </c>
      <c r="Q36" s="477">
        <v>0</v>
      </c>
      <c r="R36" s="478">
        <v>0</v>
      </c>
      <c r="S36" s="498">
        <f t="shared" si="2"/>
        <v>5000000</v>
      </c>
      <c r="T36" s="499">
        <f t="shared" si="3"/>
        <v>5000000</v>
      </c>
    </row>
    <row r="37" spans="1:20" ht="45" customHeight="1">
      <c r="A37" s="473" t="s">
        <v>789</v>
      </c>
      <c r="B37" s="474">
        <v>5000000</v>
      </c>
      <c r="C37" s="475">
        <v>5000000</v>
      </c>
      <c r="D37" s="476" t="s">
        <v>789</v>
      </c>
      <c r="E37" s="477">
        <v>0</v>
      </c>
      <c r="F37" s="478">
        <v>0</v>
      </c>
      <c r="G37" s="476" t="s">
        <v>789</v>
      </c>
      <c r="H37" s="477">
        <v>0</v>
      </c>
      <c r="I37" s="478">
        <v>0</v>
      </c>
      <c r="J37" s="476" t="s">
        <v>789</v>
      </c>
      <c r="K37" s="477">
        <v>0</v>
      </c>
      <c r="L37" s="478">
        <v>0</v>
      </c>
      <c r="M37" s="476" t="s">
        <v>789</v>
      </c>
      <c r="N37" s="477">
        <v>0</v>
      </c>
      <c r="O37" s="478">
        <v>0</v>
      </c>
      <c r="P37" s="476" t="s">
        <v>789</v>
      </c>
      <c r="Q37" s="477">
        <v>0</v>
      </c>
      <c r="R37" s="478">
        <v>0</v>
      </c>
      <c r="S37" s="498">
        <f t="shared" si="2"/>
        <v>5000000</v>
      </c>
      <c r="T37" s="499">
        <f t="shared" si="3"/>
        <v>5000000</v>
      </c>
    </row>
    <row r="38" spans="1:20" ht="12" customHeight="1">
      <c r="A38" s="473" t="s">
        <v>790</v>
      </c>
      <c r="B38" s="474">
        <v>3563393</v>
      </c>
      <c r="C38" s="475">
        <v>3514393</v>
      </c>
      <c r="D38" s="476" t="s">
        <v>790</v>
      </c>
      <c r="E38" s="477">
        <v>0</v>
      </c>
      <c r="F38" s="478">
        <v>0</v>
      </c>
      <c r="G38" s="476" t="s">
        <v>790</v>
      </c>
      <c r="H38" s="477">
        <v>0</v>
      </c>
      <c r="I38" s="478">
        <v>0</v>
      </c>
      <c r="J38" s="476" t="s">
        <v>790</v>
      </c>
      <c r="K38" s="477">
        <v>0</v>
      </c>
      <c r="L38" s="478">
        <v>0</v>
      </c>
      <c r="M38" s="476" t="s">
        <v>790</v>
      </c>
      <c r="N38" s="477">
        <v>0</v>
      </c>
      <c r="O38" s="478">
        <v>0</v>
      </c>
      <c r="P38" s="476" t="s">
        <v>790</v>
      </c>
      <c r="Q38" s="477">
        <v>0</v>
      </c>
      <c r="R38" s="478">
        <v>0</v>
      </c>
      <c r="S38" s="498">
        <f t="shared" si="2"/>
        <v>3563393</v>
      </c>
      <c r="T38" s="499">
        <f t="shared" si="3"/>
        <v>3514393</v>
      </c>
    </row>
    <row r="39" spans="1:20" ht="12" customHeight="1">
      <c r="A39" s="473" t="s">
        <v>791</v>
      </c>
      <c r="B39" s="474">
        <v>3563393</v>
      </c>
      <c r="C39" s="475">
        <v>3514393</v>
      </c>
      <c r="D39" s="476" t="s">
        <v>791</v>
      </c>
      <c r="E39" s="477">
        <v>0</v>
      </c>
      <c r="F39" s="478">
        <v>0</v>
      </c>
      <c r="G39" s="476" t="s">
        <v>791</v>
      </c>
      <c r="H39" s="477">
        <v>0</v>
      </c>
      <c r="I39" s="478">
        <v>0</v>
      </c>
      <c r="J39" s="476" t="s">
        <v>791</v>
      </c>
      <c r="K39" s="477">
        <v>0</v>
      </c>
      <c r="L39" s="478">
        <v>0</v>
      </c>
      <c r="M39" s="476" t="s">
        <v>791</v>
      </c>
      <c r="N39" s="477">
        <v>0</v>
      </c>
      <c r="O39" s="478">
        <v>0</v>
      </c>
      <c r="P39" s="476" t="s">
        <v>791</v>
      </c>
      <c r="Q39" s="477">
        <v>0</v>
      </c>
      <c r="R39" s="478">
        <v>0</v>
      </c>
      <c r="S39" s="498">
        <f t="shared" si="2"/>
        <v>3563393</v>
      </c>
      <c r="T39" s="499">
        <f t="shared" si="3"/>
        <v>3514393</v>
      </c>
    </row>
    <row r="40" spans="1:20" ht="12" customHeight="1">
      <c r="A40" s="480" t="s">
        <v>792</v>
      </c>
      <c r="B40" s="481">
        <v>132705379</v>
      </c>
      <c r="C40" s="482">
        <v>96328827</v>
      </c>
      <c r="D40" s="483" t="s">
        <v>792</v>
      </c>
      <c r="E40" s="484">
        <v>247915</v>
      </c>
      <c r="F40" s="485">
        <v>1280</v>
      </c>
      <c r="G40" s="483" t="s">
        <v>792</v>
      </c>
      <c r="H40" s="484">
        <v>0</v>
      </c>
      <c r="I40" s="485">
        <v>0</v>
      </c>
      <c r="J40" s="483" t="s">
        <v>792</v>
      </c>
      <c r="K40" s="484">
        <v>4691123</v>
      </c>
      <c r="L40" s="485">
        <v>6809845</v>
      </c>
      <c r="M40" s="483" t="s">
        <v>792</v>
      </c>
      <c r="N40" s="484">
        <v>100000</v>
      </c>
      <c r="O40" s="485">
        <v>320000</v>
      </c>
      <c r="P40" s="483" t="s">
        <v>792</v>
      </c>
      <c r="Q40" s="484">
        <v>0</v>
      </c>
      <c r="R40" s="485">
        <v>0</v>
      </c>
      <c r="S40" s="498">
        <f t="shared" si="2"/>
        <v>137744417</v>
      </c>
      <c r="T40" s="499">
        <f t="shared" si="3"/>
        <v>103459952</v>
      </c>
    </row>
    <row r="41" spans="1:20" ht="12" customHeight="1">
      <c r="A41" s="473" t="s">
        <v>793</v>
      </c>
      <c r="B41" s="474">
        <v>0</v>
      </c>
      <c r="C41" s="475">
        <v>0</v>
      </c>
      <c r="D41" s="476" t="s">
        <v>793</v>
      </c>
      <c r="E41" s="477">
        <v>500000</v>
      </c>
      <c r="F41" s="478">
        <v>0</v>
      </c>
      <c r="G41" s="476" t="s">
        <v>793</v>
      </c>
      <c r="H41" s="477">
        <v>0</v>
      </c>
      <c r="I41" s="478">
        <v>0</v>
      </c>
      <c r="J41" s="476" t="s">
        <v>793</v>
      </c>
      <c r="K41" s="477">
        <v>0</v>
      </c>
      <c r="L41" s="478">
        <v>0</v>
      </c>
      <c r="M41" s="476" t="s">
        <v>793</v>
      </c>
      <c r="N41" s="477">
        <v>0</v>
      </c>
      <c r="O41" s="478">
        <v>0</v>
      </c>
      <c r="P41" s="476" t="s">
        <v>793</v>
      </c>
      <c r="Q41" s="477">
        <v>0</v>
      </c>
      <c r="R41" s="478">
        <v>0</v>
      </c>
      <c r="S41" s="498">
        <f t="shared" si="2"/>
        <v>500000</v>
      </c>
      <c r="T41" s="499">
        <f t="shared" si="3"/>
        <v>0</v>
      </c>
    </row>
    <row r="42" spans="1:20" ht="26.25">
      <c r="A42" s="473" t="s">
        <v>794</v>
      </c>
      <c r="B42" s="474">
        <v>1914552</v>
      </c>
      <c r="C42" s="475">
        <v>6433219</v>
      </c>
      <c r="D42" s="476" t="s">
        <v>794</v>
      </c>
      <c r="E42" s="477">
        <v>0</v>
      </c>
      <c r="F42" s="478">
        <v>106381</v>
      </c>
      <c r="G42" s="476" t="s">
        <v>794</v>
      </c>
      <c r="H42" s="477">
        <v>0</v>
      </c>
      <c r="I42" s="478">
        <v>0</v>
      </c>
      <c r="J42" s="476" t="s">
        <v>794</v>
      </c>
      <c r="K42" s="477">
        <v>0</v>
      </c>
      <c r="L42" s="478">
        <v>0</v>
      </c>
      <c r="M42" s="476" t="s">
        <v>794</v>
      </c>
      <c r="N42" s="477">
        <v>0</v>
      </c>
      <c r="O42" s="478">
        <v>0</v>
      </c>
      <c r="P42" s="476" t="s">
        <v>794</v>
      </c>
      <c r="Q42" s="477">
        <v>0</v>
      </c>
      <c r="R42" s="478">
        <v>0</v>
      </c>
      <c r="S42" s="498">
        <f t="shared" si="2"/>
        <v>1914552</v>
      </c>
      <c r="T42" s="499">
        <f t="shared" si="3"/>
        <v>6539600</v>
      </c>
    </row>
    <row r="43" spans="1:20" ht="39">
      <c r="A43" s="473" t="s">
        <v>795</v>
      </c>
      <c r="B43" s="474">
        <v>1507521</v>
      </c>
      <c r="C43" s="475">
        <v>5065525</v>
      </c>
      <c r="D43" s="476" t="s">
        <v>795</v>
      </c>
      <c r="E43" s="477">
        <v>0</v>
      </c>
      <c r="F43" s="478">
        <v>14253</v>
      </c>
      <c r="G43" s="476" t="s">
        <v>795</v>
      </c>
      <c r="H43" s="477">
        <v>0</v>
      </c>
      <c r="I43" s="478">
        <v>0</v>
      </c>
      <c r="J43" s="476" t="s">
        <v>795</v>
      </c>
      <c r="K43" s="477">
        <v>0</v>
      </c>
      <c r="L43" s="478">
        <v>0</v>
      </c>
      <c r="M43" s="476" t="s">
        <v>795</v>
      </c>
      <c r="N43" s="477">
        <v>0</v>
      </c>
      <c r="O43" s="478">
        <v>0</v>
      </c>
      <c r="P43" s="476" t="s">
        <v>795</v>
      </c>
      <c r="Q43" s="477">
        <v>0</v>
      </c>
      <c r="R43" s="478">
        <v>0</v>
      </c>
      <c r="S43" s="498">
        <f t="shared" si="2"/>
        <v>1507521</v>
      </c>
      <c r="T43" s="499">
        <f t="shared" si="3"/>
        <v>5079778</v>
      </c>
    </row>
    <row r="44" spans="1:20" ht="12" customHeight="1">
      <c r="A44" s="473" t="s">
        <v>796</v>
      </c>
      <c r="B44" s="474">
        <v>407031</v>
      </c>
      <c r="C44" s="475">
        <v>1367694</v>
      </c>
      <c r="D44" s="476" t="s">
        <v>796</v>
      </c>
      <c r="E44" s="477">
        <v>0</v>
      </c>
      <c r="F44" s="478">
        <v>3848</v>
      </c>
      <c r="G44" s="476" t="s">
        <v>796</v>
      </c>
      <c r="H44" s="477">
        <v>0</v>
      </c>
      <c r="I44" s="478">
        <v>0</v>
      </c>
      <c r="J44" s="476" t="s">
        <v>796</v>
      </c>
      <c r="K44" s="477">
        <v>0</v>
      </c>
      <c r="L44" s="478">
        <v>0</v>
      </c>
      <c r="M44" s="476" t="s">
        <v>796</v>
      </c>
      <c r="N44" s="477">
        <v>0</v>
      </c>
      <c r="O44" s="478">
        <v>0</v>
      </c>
      <c r="P44" s="476" t="s">
        <v>796</v>
      </c>
      <c r="Q44" s="477">
        <v>0</v>
      </c>
      <c r="R44" s="478">
        <v>0</v>
      </c>
      <c r="S44" s="498">
        <f t="shared" si="2"/>
        <v>407031</v>
      </c>
      <c r="T44" s="499">
        <f t="shared" si="3"/>
        <v>1371542</v>
      </c>
    </row>
    <row r="45" spans="1:20" ht="12" customHeight="1">
      <c r="A45" s="473" t="s">
        <v>797</v>
      </c>
      <c r="B45" s="474">
        <v>0</v>
      </c>
      <c r="C45" s="475">
        <v>0</v>
      </c>
      <c r="D45" s="476" t="s">
        <v>797</v>
      </c>
      <c r="E45" s="477">
        <v>0</v>
      </c>
      <c r="F45" s="478">
        <v>88280</v>
      </c>
      <c r="G45" s="476" t="s">
        <v>797</v>
      </c>
      <c r="H45" s="477">
        <v>0</v>
      </c>
      <c r="I45" s="478">
        <v>0</v>
      </c>
      <c r="J45" s="476" t="s">
        <v>797</v>
      </c>
      <c r="K45" s="477">
        <v>0</v>
      </c>
      <c r="L45" s="478">
        <v>0</v>
      </c>
      <c r="M45" s="476" t="s">
        <v>797</v>
      </c>
      <c r="N45" s="477">
        <v>0</v>
      </c>
      <c r="O45" s="478">
        <v>0</v>
      </c>
      <c r="P45" s="476" t="s">
        <v>797</v>
      </c>
      <c r="Q45" s="477">
        <v>0</v>
      </c>
      <c r="R45" s="478">
        <v>0</v>
      </c>
      <c r="S45" s="498">
        <f t="shared" si="2"/>
        <v>0</v>
      </c>
      <c r="T45" s="499">
        <f t="shared" si="3"/>
        <v>88280</v>
      </c>
    </row>
    <row r="46" spans="1:20" ht="12" customHeight="1">
      <c r="A46" s="473" t="s">
        <v>798</v>
      </c>
      <c r="B46" s="474">
        <v>293734</v>
      </c>
      <c r="C46" s="475">
        <v>0</v>
      </c>
      <c r="D46" s="476" t="s">
        <v>798</v>
      </c>
      <c r="E46" s="477">
        <v>0</v>
      </c>
      <c r="F46" s="478">
        <v>0</v>
      </c>
      <c r="G46" s="476" t="s">
        <v>798</v>
      </c>
      <c r="H46" s="477">
        <v>0</v>
      </c>
      <c r="I46" s="478">
        <v>0</v>
      </c>
      <c r="J46" s="476" t="s">
        <v>798</v>
      </c>
      <c r="K46" s="477">
        <v>0</v>
      </c>
      <c r="L46" s="478">
        <v>0</v>
      </c>
      <c r="M46" s="476" t="s">
        <v>798</v>
      </c>
      <c r="N46" s="477">
        <v>0</v>
      </c>
      <c r="O46" s="478">
        <v>0</v>
      </c>
      <c r="P46" s="476" t="s">
        <v>798</v>
      </c>
      <c r="Q46" s="477">
        <v>0</v>
      </c>
      <c r="R46" s="478">
        <v>0</v>
      </c>
      <c r="S46" s="498">
        <f t="shared" si="2"/>
        <v>293734</v>
      </c>
      <c r="T46" s="499">
        <f t="shared" si="3"/>
        <v>0</v>
      </c>
    </row>
    <row r="47" spans="1:20" ht="12" customHeight="1">
      <c r="A47" s="473" t="s">
        <v>799</v>
      </c>
      <c r="B47" s="474">
        <v>293734</v>
      </c>
      <c r="C47" s="475">
        <v>0</v>
      </c>
      <c r="D47" s="476" t="s">
        <v>799</v>
      </c>
      <c r="E47" s="477">
        <v>0</v>
      </c>
      <c r="F47" s="478">
        <v>0</v>
      </c>
      <c r="G47" s="476" t="s">
        <v>799</v>
      </c>
      <c r="H47" s="477">
        <v>0</v>
      </c>
      <c r="I47" s="478">
        <v>0</v>
      </c>
      <c r="J47" s="476" t="s">
        <v>799</v>
      </c>
      <c r="K47" s="477">
        <v>0</v>
      </c>
      <c r="L47" s="478">
        <v>0</v>
      </c>
      <c r="M47" s="476" t="s">
        <v>799</v>
      </c>
      <c r="N47" s="477">
        <v>0</v>
      </c>
      <c r="O47" s="478">
        <v>0</v>
      </c>
      <c r="P47" s="476" t="s">
        <v>799</v>
      </c>
      <c r="Q47" s="477">
        <v>0</v>
      </c>
      <c r="R47" s="478">
        <v>0</v>
      </c>
      <c r="S47" s="498">
        <f t="shared" si="2"/>
        <v>293734</v>
      </c>
      <c r="T47" s="499">
        <f t="shared" si="3"/>
        <v>0</v>
      </c>
    </row>
    <row r="48" spans="1:20" ht="29.25" customHeight="1">
      <c r="A48" s="480" t="s">
        <v>800</v>
      </c>
      <c r="B48" s="481">
        <v>2208286</v>
      </c>
      <c r="C48" s="482">
        <v>6433219</v>
      </c>
      <c r="D48" s="483" t="s">
        <v>800</v>
      </c>
      <c r="E48" s="484">
        <v>500000</v>
      </c>
      <c r="F48" s="485">
        <v>106381</v>
      </c>
      <c r="G48" s="483" t="s">
        <v>800</v>
      </c>
      <c r="H48" s="484">
        <v>0</v>
      </c>
      <c r="I48" s="485">
        <v>0</v>
      </c>
      <c r="J48" s="483" t="s">
        <v>800</v>
      </c>
      <c r="K48" s="484">
        <v>0</v>
      </c>
      <c r="L48" s="485">
        <v>0</v>
      </c>
      <c r="M48" s="483" t="s">
        <v>800</v>
      </c>
      <c r="N48" s="484">
        <v>0</v>
      </c>
      <c r="O48" s="485">
        <v>0</v>
      </c>
      <c r="P48" s="483" t="s">
        <v>800</v>
      </c>
      <c r="Q48" s="484">
        <v>0</v>
      </c>
      <c r="R48" s="485">
        <v>0</v>
      </c>
      <c r="S48" s="500">
        <f aca="true" t="shared" si="4" ref="S48:S80">B48+E48+H48+K48+N48+Q48</f>
        <v>2708286</v>
      </c>
      <c r="T48" s="501">
        <f aca="true" t="shared" si="5" ref="T48:T80">C48+F48+I48+L48+O48+R48</f>
        <v>6539600</v>
      </c>
    </row>
    <row r="49" spans="1:20" ht="13.5" customHeight="1">
      <c r="A49" s="473" t="s">
        <v>801</v>
      </c>
      <c r="B49" s="474">
        <v>21449028</v>
      </c>
      <c r="C49" s="475">
        <v>18481220</v>
      </c>
      <c r="D49" s="476" t="s">
        <v>801</v>
      </c>
      <c r="E49" s="477">
        <v>172483</v>
      </c>
      <c r="F49" s="478">
        <v>0</v>
      </c>
      <c r="G49" s="476" t="s">
        <v>801</v>
      </c>
      <c r="H49" s="477">
        <v>1863519</v>
      </c>
      <c r="I49" s="478">
        <v>0</v>
      </c>
      <c r="J49" s="476" t="s">
        <v>801</v>
      </c>
      <c r="K49" s="477">
        <v>9004720</v>
      </c>
      <c r="L49" s="478">
        <v>11572964</v>
      </c>
      <c r="M49" s="476" t="s">
        <v>801</v>
      </c>
      <c r="N49" s="477">
        <v>766812</v>
      </c>
      <c r="O49" s="478">
        <v>1254340</v>
      </c>
      <c r="P49" s="476" t="s">
        <v>801</v>
      </c>
      <c r="Q49" s="477">
        <v>5957412</v>
      </c>
      <c r="R49" s="478">
        <v>9639849</v>
      </c>
      <c r="S49" s="498">
        <f t="shared" si="4"/>
        <v>39213974</v>
      </c>
      <c r="T49" s="499">
        <f t="shared" si="5"/>
        <v>40948373</v>
      </c>
    </row>
    <row r="50" spans="1:20" ht="12.75" customHeight="1">
      <c r="A50" s="473" t="s">
        <v>802</v>
      </c>
      <c r="B50" s="474">
        <v>10629921</v>
      </c>
      <c r="C50" s="475">
        <v>10629921</v>
      </c>
      <c r="D50" s="476" t="s">
        <v>802</v>
      </c>
      <c r="E50" s="477">
        <v>0</v>
      </c>
      <c r="F50" s="478">
        <v>0</v>
      </c>
      <c r="G50" s="476" t="s">
        <v>802</v>
      </c>
      <c r="H50" s="477">
        <v>0</v>
      </c>
      <c r="I50" s="478">
        <v>0</v>
      </c>
      <c r="J50" s="476" t="s">
        <v>802</v>
      </c>
      <c r="K50" s="477">
        <v>0</v>
      </c>
      <c r="L50" s="478">
        <v>0</v>
      </c>
      <c r="M50" s="476" t="s">
        <v>802</v>
      </c>
      <c r="N50" s="477">
        <v>0</v>
      </c>
      <c r="O50" s="478">
        <v>0</v>
      </c>
      <c r="P50" s="476" t="s">
        <v>802</v>
      </c>
      <c r="Q50" s="477">
        <v>0</v>
      </c>
      <c r="R50" s="478">
        <v>0</v>
      </c>
      <c r="S50" s="498">
        <f t="shared" si="4"/>
        <v>10629921</v>
      </c>
      <c r="T50" s="499">
        <f t="shared" si="5"/>
        <v>10629921</v>
      </c>
    </row>
    <row r="51" spans="1:20" ht="12.75" customHeight="1">
      <c r="A51" s="473" t="s">
        <v>803</v>
      </c>
      <c r="B51" s="474">
        <v>0</v>
      </c>
      <c r="C51" s="475">
        <v>0</v>
      </c>
      <c r="D51" s="476" t="s">
        <v>803</v>
      </c>
      <c r="E51" s="477">
        <v>160000</v>
      </c>
      <c r="F51" s="478">
        <v>0</v>
      </c>
      <c r="G51" s="476" t="s">
        <v>803</v>
      </c>
      <c r="H51" s="477">
        <v>40000</v>
      </c>
      <c r="I51" s="478">
        <v>0</v>
      </c>
      <c r="J51" s="476" t="s">
        <v>803</v>
      </c>
      <c r="K51" s="477">
        <v>0</v>
      </c>
      <c r="L51" s="478">
        <v>0</v>
      </c>
      <c r="M51" s="476" t="s">
        <v>803</v>
      </c>
      <c r="N51" s="477">
        <v>0</v>
      </c>
      <c r="O51" s="478">
        <v>0</v>
      </c>
      <c r="P51" s="476" t="s">
        <v>803</v>
      </c>
      <c r="Q51" s="477">
        <v>0</v>
      </c>
      <c r="R51" s="478">
        <v>0</v>
      </c>
      <c r="S51" s="498">
        <f t="shared" si="4"/>
        <v>200000</v>
      </c>
      <c r="T51" s="499">
        <f t="shared" si="5"/>
        <v>0</v>
      </c>
    </row>
    <row r="52" spans="1:20" ht="13.5" customHeight="1">
      <c r="A52" s="473" t="s">
        <v>804</v>
      </c>
      <c r="B52" s="474">
        <v>19800</v>
      </c>
      <c r="C52" s="475">
        <v>19800</v>
      </c>
      <c r="D52" s="476" t="s">
        <v>804</v>
      </c>
      <c r="E52" s="477">
        <v>0</v>
      </c>
      <c r="F52" s="478">
        <v>0</v>
      </c>
      <c r="G52" s="476" t="s">
        <v>804</v>
      </c>
      <c r="H52" s="477">
        <v>0</v>
      </c>
      <c r="I52" s="478">
        <v>0</v>
      </c>
      <c r="J52" s="476" t="s">
        <v>804</v>
      </c>
      <c r="K52" s="477">
        <v>0</v>
      </c>
      <c r="L52" s="478">
        <v>0</v>
      </c>
      <c r="M52" s="476" t="s">
        <v>804</v>
      </c>
      <c r="N52" s="477">
        <v>0</v>
      </c>
      <c r="O52" s="478">
        <v>0</v>
      </c>
      <c r="P52" s="476" t="s">
        <v>804</v>
      </c>
      <c r="Q52" s="477">
        <v>0</v>
      </c>
      <c r="R52" s="478">
        <v>0</v>
      </c>
      <c r="S52" s="498">
        <f t="shared" si="4"/>
        <v>19800</v>
      </c>
      <c r="T52" s="499">
        <f t="shared" si="5"/>
        <v>19800</v>
      </c>
    </row>
    <row r="53" spans="1:20" ht="13.5" customHeight="1">
      <c r="A53" s="473" t="s">
        <v>805</v>
      </c>
      <c r="B53" s="474">
        <v>59053</v>
      </c>
      <c r="C53" s="475">
        <v>72472</v>
      </c>
      <c r="D53" s="476" t="s">
        <v>805</v>
      </c>
      <c r="E53" s="477">
        <v>0</v>
      </c>
      <c r="F53" s="478">
        <v>0</v>
      </c>
      <c r="G53" s="476" t="s">
        <v>805</v>
      </c>
      <c r="H53" s="477">
        <v>1823519</v>
      </c>
      <c r="I53" s="478">
        <v>0</v>
      </c>
      <c r="J53" s="476" t="s">
        <v>805</v>
      </c>
      <c r="K53" s="477">
        <v>9004720</v>
      </c>
      <c r="L53" s="478">
        <v>11572964</v>
      </c>
      <c r="M53" s="476" t="s">
        <v>805</v>
      </c>
      <c r="N53" s="477">
        <v>766812</v>
      </c>
      <c r="O53" s="478">
        <v>1254340</v>
      </c>
      <c r="P53" s="476" t="s">
        <v>805</v>
      </c>
      <c r="Q53" s="477">
        <v>5957412</v>
      </c>
      <c r="R53" s="478">
        <v>9639849</v>
      </c>
      <c r="S53" s="498">
        <f t="shared" si="4"/>
        <v>17611516</v>
      </c>
      <c r="T53" s="499">
        <f t="shared" si="5"/>
        <v>22539625</v>
      </c>
    </row>
    <row r="54" spans="1:20" ht="13.5" customHeight="1">
      <c r="A54" s="473" t="s">
        <v>806</v>
      </c>
      <c r="B54" s="474">
        <v>10740254</v>
      </c>
      <c r="C54" s="475">
        <v>7759027</v>
      </c>
      <c r="D54" s="476" t="s">
        <v>806</v>
      </c>
      <c r="E54" s="477">
        <v>12483</v>
      </c>
      <c r="F54" s="478">
        <v>0</v>
      </c>
      <c r="G54" s="476" t="s">
        <v>806</v>
      </c>
      <c r="H54" s="477">
        <v>0</v>
      </c>
      <c r="I54" s="478">
        <v>0</v>
      </c>
      <c r="J54" s="476" t="s">
        <v>806</v>
      </c>
      <c r="K54" s="477">
        <v>0</v>
      </c>
      <c r="L54" s="478">
        <v>0</v>
      </c>
      <c r="M54" s="476" t="s">
        <v>806</v>
      </c>
      <c r="N54" s="477">
        <v>0</v>
      </c>
      <c r="O54" s="478">
        <v>0</v>
      </c>
      <c r="P54" s="476" t="s">
        <v>806</v>
      </c>
      <c r="Q54" s="477">
        <v>0</v>
      </c>
      <c r="R54" s="478">
        <v>0</v>
      </c>
      <c r="S54" s="498">
        <f t="shared" si="4"/>
        <v>10752737</v>
      </c>
      <c r="T54" s="499">
        <f t="shared" si="5"/>
        <v>7759027</v>
      </c>
    </row>
    <row r="55" spans="1:20" ht="12.75" customHeight="1">
      <c r="A55" s="473" t="s">
        <v>807</v>
      </c>
      <c r="B55" s="474">
        <v>6041806</v>
      </c>
      <c r="C55" s="475">
        <v>6041806</v>
      </c>
      <c r="D55" s="476" t="s">
        <v>807</v>
      </c>
      <c r="E55" s="477">
        <v>0</v>
      </c>
      <c r="F55" s="478">
        <v>0</v>
      </c>
      <c r="G55" s="476" t="s">
        <v>807</v>
      </c>
      <c r="H55" s="477">
        <v>0</v>
      </c>
      <c r="I55" s="478">
        <v>0</v>
      </c>
      <c r="J55" s="476" t="s">
        <v>807</v>
      </c>
      <c r="K55" s="477">
        <v>0</v>
      </c>
      <c r="L55" s="478">
        <v>0</v>
      </c>
      <c r="M55" s="476" t="s">
        <v>807</v>
      </c>
      <c r="N55" s="477">
        <v>0</v>
      </c>
      <c r="O55" s="478">
        <v>0</v>
      </c>
      <c r="P55" s="476" t="s">
        <v>807</v>
      </c>
      <c r="Q55" s="477">
        <v>0</v>
      </c>
      <c r="R55" s="478">
        <v>0</v>
      </c>
      <c r="S55" s="498">
        <f t="shared" si="4"/>
        <v>6041806</v>
      </c>
      <c r="T55" s="499">
        <f t="shared" si="5"/>
        <v>6041806</v>
      </c>
    </row>
    <row r="56" spans="1:20" ht="12.75" customHeight="1">
      <c r="A56" s="480" t="s">
        <v>808</v>
      </c>
      <c r="B56" s="481">
        <v>27490834</v>
      </c>
      <c r="C56" s="482">
        <v>24523026</v>
      </c>
      <c r="D56" s="483" t="s">
        <v>808</v>
      </c>
      <c r="E56" s="484">
        <v>172483</v>
      </c>
      <c r="F56" s="485">
        <v>0</v>
      </c>
      <c r="G56" s="483" t="s">
        <v>808</v>
      </c>
      <c r="H56" s="484">
        <v>1863519</v>
      </c>
      <c r="I56" s="485">
        <v>0</v>
      </c>
      <c r="J56" s="483" t="s">
        <v>808</v>
      </c>
      <c r="K56" s="484">
        <v>9004720</v>
      </c>
      <c r="L56" s="485">
        <v>11572964</v>
      </c>
      <c r="M56" s="483" t="s">
        <v>808</v>
      </c>
      <c r="N56" s="484">
        <v>766812</v>
      </c>
      <c r="O56" s="485">
        <v>1254340</v>
      </c>
      <c r="P56" s="483" t="s">
        <v>808</v>
      </c>
      <c r="Q56" s="484">
        <v>5957412</v>
      </c>
      <c r="R56" s="485">
        <v>9639849</v>
      </c>
      <c r="S56" s="500">
        <f t="shared" si="4"/>
        <v>45255780</v>
      </c>
      <c r="T56" s="501">
        <f t="shared" si="5"/>
        <v>46990179</v>
      </c>
    </row>
    <row r="57" spans="1:20" ht="12.75" customHeight="1">
      <c r="A57" s="480" t="s">
        <v>809</v>
      </c>
      <c r="B57" s="481">
        <v>162404499</v>
      </c>
      <c r="C57" s="482">
        <v>127285072</v>
      </c>
      <c r="D57" s="483" t="s">
        <v>809</v>
      </c>
      <c r="E57" s="484">
        <v>920398</v>
      </c>
      <c r="F57" s="485">
        <v>107661</v>
      </c>
      <c r="G57" s="483" t="s">
        <v>809</v>
      </c>
      <c r="H57" s="484">
        <v>1863519</v>
      </c>
      <c r="I57" s="485">
        <v>0</v>
      </c>
      <c r="J57" s="483" t="s">
        <v>809</v>
      </c>
      <c r="K57" s="484">
        <v>13695843</v>
      </c>
      <c r="L57" s="485">
        <v>18382809</v>
      </c>
      <c r="M57" s="483" t="s">
        <v>809</v>
      </c>
      <c r="N57" s="484">
        <v>866812</v>
      </c>
      <c r="O57" s="485">
        <v>1574340</v>
      </c>
      <c r="P57" s="483" t="s">
        <v>809</v>
      </c>
      <c r="Q57" s="484">
        <v>5957412</v>
      </c>
      <c r="R57" s="485">
        <v>9639849</v>
      </c>
      <c r="S57" s="500">
        <f t="shared" si="4"/>
        <v>185708483</v>
      </c>
      <c r="T57" s="501">
        <f t="shared" si="5"/>
        <v>156989731</v>
      </c>
    </row>
    <row r="58" spans="1:20" ht="26.25">
      <c r="A58" s="473" t="s">
        <v>810</v>
      </c>
      <c r="B58" s="474">
        <v>0</v>
      </c>
      <c r="C58" s="475">
        <v>0</v>
      </c>
      <c r="D58" s="476" t="s">
        <v>810</v>
      </c>
      <c r="E58" s="477">
        <v>431069</v>
      </c>
      <c r="F58" s="478">
        <v>0</v>
      </c>
      <c r="G58" s="476" t="s">
        <v>810</v>
      </c>
      <c r="H58" s="477">
        <v>0</v>
      </c>
      <c r="I58" s="478">
        <v>0</v>
      </c>
      <c r="J58" s="476" t="s">
        <v>810</v>
      </c>
      <c r="K58" s="477">
        <v>0</v>
      </c>
      <c r="L58" s="478">
        <v>28037928</v>
      </c>
      <c r="M58" s="476" t="s">
        <v>810</v>
      </c>
      <c r="N58" s="477">
        <v>176377</v>
      </c>
      <c r="O58" s="478">
        <v>0</v>
      </c>
      <c r="P58" s="476" t="s">
        <v>810</v>
      </c>
      <c r="Q58" s="477">
        <v>22931</v>
      </c>
      <c r="R58" s="478">
        <v>0</v>
      </c>
      <c r="S58" s="498">
        <f t="shared" si="4"/>
        <v>630377</v>
      </c>
      <c r="T58" s="499">
        <f t="shared" si="5"/>
        <v>28037928</v>
      </c>
    </row>
    <row r="59" spans="1:20" ht="26.25">
      <c r="A59" s="473" t="s">
        <v>811</v>
      </c>
      <c r="B59" s="474">
        <v>2870079</v>
      </c>
      <c r="C59" s="475">
        <v>2870079</v>
      </c>
      <c r="D59" s="476" t="s">
        <v>811</v>
      </c>
      <c r="E59" s="477">
        <v>0</v>
      </c>
      <c r="F59" s="478">
        <v>0</v>
      </c>
      <c r="G59" s="476" t="s">
        <v>811</v>
      </c>
      <c r="H59" s="477">
        <v>0</v>
      </c>
      <c r="I59" s="478">
        <v>0</v>
      </c>
      <c r="J59" s="476" t="s">
        <v>811</v>
      </c>
      <c r="K59" s="477">
        <v>0</v>
      </c>
      <c r="L59" s="478">
        <v>0</v>
      </c>
      <c r="M59" s="476" t="s">
        <v>811</v>
      </c>
      <c r="N59" s="477">
        <v>0</v>
      </c>
      <c r="O59" s="478">
        <v>0</v>
      </c>
      <c r="P59" s="476" t="s">
        <v>811</v>
      </c>
      <c r="Q59" s="477">
        <v>0</v>
      </c>
      <c r="R59" s="478">
        <v>0</v>
      </c>
      <c r="S59" s="498">
        <f t="shared" si="4"/>
        <v>2870079</v>
      </c>
      <c r="T59" s="499">
        <f t="shared" si="5"/>
        <v>2870079</v>
      </c>
    </row>
    <row r="60" spans="1:20" ht="26.25">
      <c r="A60" s="473" t="s">
        <v>812</v>
      </c>
      <c r="B60" s="474">
        <v>0</v>
      </c>
      <c r="C60" s="475">
        <v>0</v>
      </c>
      <c r="D60" s="476" t="s">
        <v>812</v>
      </c>
      <c r="E60" s="477">
        <v>0</v>
      </c>
      <c r="F60" s="478">
        <v>0</v>
      </c>
      <c r="G60" s="476" t="s">
        <v>812</v>
      </c>
      <c r="H60" s="477">
        <v>41877</v>
      </c>
      <c r="I60" s="478">
        <v>885368</v>
      </c>
      <c r="J60" s="476" t="s">
        <v>812</v>
      </c>
      <c r="K60" s="477">
        <v>-10602967</v>
      </c>
      <c r="L60" s="478">
        <v>0</v>
      </c>
      <c r="M60" s="476" t="s">
        <v>812</v>
      </c>
      <c r="N60" s="477">
        <v>0</v>
      </c>
      <c r="O60" s="478">
        <v>-1</v>
      </c>
      <c r="P60" s="476" t="s">
        <v>812</v>
      </c>
      <c r="Q60" s="477">
        <v>-22931</v>
      </c>
      <c r="R60" s="478">
        <v>23128</v>
      </c>
      <c r="S60" s="498">
        <f t="shared" si="4"/>
        <v>-10584021</v>
      </c>
      <c r="T60" s="499">
        <f t="shared" si="5"/>
        <v>908495</v>
      </c>
    </row>
    <row r="61" spans="1:20" ht="26.25">
      <c r="A61" s="480" t="s">
        <v>813</v>
      </c>
      <c r="B61" s="481">
        <v>2870079</v>
      </c>
      <c r="C61" s="482">
        <v>2870079</v>
      </c>
      <c r="D61" s="483" t="s">
        <v>813</v>
      </c>
      <c r="E61" s="484">
        <v>431069</v>
      </c>
      <c r="F61" s="485">
        <v>0</v>
      </c>
      <c r="G61" s="483" t="s">
        <v>813</v>
      </c>
      <c r="H61" s="484">
        <v>41877</v>
      </c>
      <c r="I61" s="485">
        <v>885368</v>
      </c>
      <c r="J61" s="483" t="s">
        <v>813</v>
      </c>
      <c r="K61" s="484">
        <v>-10602967</v>
      </c>
      <c r="L61" s="485">
        <v>28037928</v>
      </c>
      <c r="M61" s="483" t="s">
        <v>813</v>
      </c>
      <c r="N61" s="484">
        <v>176377</v>
      </c>
      <c r="O61" s="485">
        <v>-1</v>
      </c>
      <c r="P61" s="483" t="s">
        <v>813</v>
      </c>
      <c r="Q61" s="484">
        <v>0</v>
      </c>
      <c r="R61" s="485">
        <v>23128</v>
      </c>
      <c r="S61" s="500">
        <f t="shared" si="4"/>
        <v>-7083565</v>
      </c>
      <c r="T61" s="501">
        <f t="shared" si="5"/>
        <v>31816502</v>
      </c>
    </row>
    <row r="62" spans="1:20" ht="12.75">
      <c r="A62" s="473" t="s">
        <v>814</v>
      </c>
      <c r="B62" s="474">
        <v>0</v>
      </c>
      <c r="C62" s="475">
        <v>2132633</v>
      </c>
      <c r="D62" s="476" t="s">
        <v>814</v>
      </c>
      <c r="E62" s="477">
        <v>0</v>
      </c>
      <c r="F62" s="478">
        <v>0</v>
      </c>
      <c r="G62" s="476" t="s">
        <v>814</v>
      </c>
      <c r="H62" s="477">
        <v>0</v>
      </c>
      <c r="I62" s="478">
        <v>0</v>
      </c>
      <c r="J62" s="476" t="s">
        <v>814</v>
      </c>
      <c r="K62" s="477">
        <v>5939910</v>
      </c>
      <c r="L62" s="478">
        <v>-28277437</v>
      </c>
      <c r="M62" s="476" t="s">
        <v>814</v>
      </c>
      <c r="N62" s="477">
        <v>-501480</v>
      </c>
      <c r="O62" s="478">
        <v>-266945</v>
      </c>
      <c r="P62" s="476" t="s">
        <v>814</v>
      </c>
      <c r="Q62" s="477">
        <v>-3854</v>
      </c>
      <c r="R62" s="478">
        <v>-18254</v>
      </c>
      <c r="S62" s="498">
        <f t="shared" si="4"/>
        <v>5434576</v>
      </c>
      <c r="T62" s="499">
        <f t="shared" si="5"/>
        <v>-26430003</v>
      </c>
    </row>
    <row r="63" spans="1:20" ht="26.25">
      <c r="A63" s="480" t="s">
        <v>815</v>
      </c>
      <c r="B63" s="481">
        <v>0</v>
      </c>
      <c r="C63" s="482">
        <v>2132633</v>
      </c>
      <c r="D63" s="483" t="s">
        <v>815</v>
      </c>
      <c r="E63" s="484">
        <v>0</v>
      </c>
      <c r="F63" s="485">
        <v>0</v>
      </c>
      <c r="G63" s="483" t="s">
        <v>815</v>
      </c>
      <c r="H63" s="484">
        <v>0</v>
      </c>
      <c r="I63" s="485">
        <v>0</v>
      </c>
      <c r="J63" s="483" t="s">
        <v>815</v>
      </c>
      <c r="K63" s="484">
        <v>5939910</v>
      </c>
      <c r="L63" s="485">
        <v>-28277437</v>
      </c>
      <c r="M63" s="483" t="s">
        <v>815</v>
      </c>
      <c r="N63" s="484">
        <v>-501480</v>
      </c>
      <c r="O63" s="485">
        <v>-266945</v>
      </c>
      <c r="P63" s="483" t="s">
        <v>815</v>
      </c>
      <c r="Q63" s="484">
        <v>-3854</v>
      </c>
      <c r="R63" s="485">
        <v>-18254</v>
      </c>
      <c r="S63" s="500">
        <f t="shared" si="4"/>
        <v>5434576</v>
      </c>
      <c r="T63" s="501">
        <f t="shared" si="5"/>
        <v>-26430003</v>
      </c>
    </row>
    <row r="64" spans="1:20" ht="39">
      <c r="A64" s="473" t="s">
        <v>816</v>
      </c>
      <c r="B64" s="474">
        <v>218190</v>
      </c>
      <c r="C64" s="475">
        <v>218190</v>
      </c>
      <c r="D64" s="476" t="s">
        <v>816</v>
      </c>
      <c r="E64" s="477">
        <v>1</v>
      </c>
      <c r="F64" s="478">
        <v>0</v>
      </c>
      <c r="G64" s="476" t="s">
        <v>816</v>
      </c>
      <c r="H64" s="477">
        <v>0</v>
      </c>
      <c r="I64" s="478">
        <v>0</v>
      </c>
      <c r="J64" s="476" t="s">
        <v>816</v>
      </c>
      <c r="K64" s="477">
        <v>0</v>
      </c>
      <c r="L64" s="478">
        <v>0</v>
      </c>
      <c r="M64" s="476" t="s">
        <v>816</v>
      </c>
      <c r="N64" s="477">
        <v>0</v>
      </c>
      <c r="O64" s="478">
        <v>0</v>
      </c>
      <c r="P64" s="476" t="s">
        <v>816</v>
      </c>
      <c r="Q64" s="477">
        <v>0</v>
      </c>
      <c r="R64" s="478">
        <v>0</v>
      </c>
      <c r="S64" s="498">
        <f t="shared" si="4"/>
        <v>218191</v>
      </c>
      <c r="T64" s="499">
        <f t="shared" si="5"/>
        <v>218190</v>
      </c>
    </row>
    <row r="65" spans="1:20" ht="26.25">
      <c r="A65" s="480" t="s">
        <v>817</v>
      </c>
      <c r="B65" s="481">
        <v>218190</v>
      </c>
      <c r="C65" s="482">
        <v>218190</v>
      </c>
      <c r="D65" s="483" t="s">
        <v>817</v>
      </c>
      <c r="E65" s="484">
        <v>1</v>
      </c>
      <c r="F65" s="485">
        <v>0</v>
      </c>
      <c r="G65" s="483" t="s">
        <v>817</v>
      </c>
      <c r="H65" s="484">
        <v>0</v>
      </c>
      <c r="I65" s="485">
        <v>0</v>
      </c>
      <c r="J65" s="483" t="s">
        <v>817</v>
      </c>
      <c r="K65" s="484">
        <v>0</v>
      </c>
      <c r="L65" s="485">
        <v>0</v>
      </c>
      <c r="M65" s="483" t="s">
        <v>817</v>
      </c>
      <c r="N65" s="484">
        <v>0</v>
      </c>
      <c r="O65" s="485">
        <v>0</v>
      </c>
      <c r="P65" s="483" t="s">
        <v>817</v>
      </c>
      <c r="Q65" s="484">
        <v>0</v>
      </c>
      <c r="R65" s="485">
        <v>0</v>
      </c>
      <c r="S65" s="500">
        <f t="shared" si="4"/>
        <v>218191</v>
      </c>
      <c r="T65" s="501">
        <f t="shared" si="5"/>
        <v>218190</v>
      </c>
    </row>
    <row r="66" spans="1:20" ht="12.75">
      <c r="A66" s="480" t="s">
        <v>818</v>
      </c>
      <c r="B66" s="481">
        <v>3088269</v>
      </c>
      <c r="C66" s="482">
        <v>5220902</v>
      </c>
      <c r="D66" s="483" t="s">
        <v>818</v>
      </c>
      <c r="E66" s="484">
        <v>431070</v>
      </c>
      <c r="F66" s="485">
        <v>0</v>
      </c>
      <c r="G66" s="483" t="s">
        <v>818</v>
      </c>
      <c r="H66" s="484">
        <v>41877</v>
      </c>
      <c r="I66" s="485">
        <v>885368</v>
      </c>
      <c r="J66" s="483" t="s">
        <v>818</v>
      </c>
      <c r="K66" s="484">
        <v>-4663057</v>
      </c>
      <c r="L66" s="485">
        <v>-239509</v>
      </c>
      <c r="M66" s="483" t="s">
        <v>818</v>
      </c>
      <c r="N66" s="484">
        <v>-325103</v>
      </c>
      <c r="O66" s="485">
        <v>-266946</v>
      </c>
      <c r="P66" s="483" t="s">
        <v>818</v>
      </c>
      <c r="Q66" s="484">
        <v>-3854</v>
      </c>
      <c r="R66" s="485">
        <v>4874</v>
      </c>
      <c r="S66" s="500">
        <f t="shared" si="4"/>
        <v>-1430798</v>
      </c>
      <c r="T66" s="501">
        <f t="shared" si="5"/>
        <v>5604689</v>
      </c>
    </row>
    <row r="67" spans="1:20" ht="12.75">
      <c r="A67" s="473" t="s">
        <v>819</v>
      </c>
      <c r="B67" s="474">
        <v>0</v>
      </c>
      <c r="C67" s="475">
        <v>0</v>
      </c>
      <c r="D67" s="476" t="s">
        <v>819</v>
      </c>
      <c r="E67" s="477">
        <v>0</v>
      </c>
      <c r="F67" s="478">
        <v>0</v>
      </c>
      <c r="G67" s="476" t="s">
        <v>819</v>
      </c>
      <c r="H67" s="477">
        <v>0</v>
      </c>
      <c r="I67" s="478">
        <v>0</v>
      </c>
      <c r="J67" s="476" t="s">
        <v>819</v>
      </c>
      <c r="K67" s="477">
        <v>3017325</v>
      </c>
      <c r="L67" s="478">
        <v>2970771</v>
      </c>
      <c r="M67" s="476" t="s">
        <v>819</v>
      </c>
      <c r="N67" s="477">
        <v>0</v>
      </c>
      <c r="O67" s="478">
        <v>0</v>
      </c>
      <c r="P67" s="476" t="s">
        <v>819</v>
      </c>
      <c r="Q67" s="477">
        <v>0</v>
      </c>
      <c r="R67" s="478">
        <v>0</v>
      </c>
      <c r="S67" s="498">
        <f t="shared" si="4"/>
        <v>3017325</v>
      </c>
      <c r="T67" s="499">
        <f t="shared" si="5"/>
        <v>2970771</v>
      </c>
    </row>
    <row r="68" spans="1:20" ht="12.75">
      <c r="A68" s="473" t="s">
        <v>820</v>
      </c>
      <c r="B68" s="474">
        <v>151531</v>
      </c>
      <c r="C68" s="475">
        <v>151531</v>
      </c>
      <c r="D68" s="476" t="s">
        <v>820</v>
      </c>
      <c r="E68" s="477">
        <v>196735</v>
      </c>
      <c r="F68" s="478">
        <v>0</v>
      </c>
      <c r="G68" s="476" t="s">
        <v>820</v>
      </c>
      <c r="H68" s="477">
        <v>0</v>
      </c>
      <c r="I68" s="478">
        <v>0</v>
      </c>
      <c r="J68" s="476" t="s">
        <v>820</v>
      </c>
      <c r="K68" s="477">
        <v>386933</v>
      </c>
      <c r="L68" s="478">
        <v>0</v>
      </c>
      <c r="M68" s="476" t="s">
        <v>820</v>
      </c>
      <c r="N68" s="477">
        <v>91600</v>
      </c>
      <c r="O68" s="478">
        <v>56700</v>
      </c>
      <c r="P68" s="476" t="s">
        <v>820</v>
      </c>
      <c r="Q68" s="477">
        <v>0</v>
      </c>
      <c r="R68" s="478">
        <v>0</v>
      </c>
      <c r="S68" s="498">
        <f t="shared" si="4"/>
        <v>826799</v>
      </c>
      <c r="T68" s="499">
        <f t="shared" si="5"/>
        <v>208231</v>
      </c>
    </row>
    <row r="69" spans="1:20" ht="12.75">
      <c r="A69" s="480" t="s">
        <v>821</v>
      </c>
      <c r="B69" s="481">
        <v>151531</v>
      </c>
      <c r="C69" s="482">
        <v>151531</v>
      </c>
      <c r="D69" s="483" t="s">
        <v>821</v>
      </c>
      <c r="E69" s="484">
        <v>196735</v>
      </c>
      <c r="F69" s="485">
        <v>0</v>
      </c>
      <c r="G69" s="483" t="s">
        <v>821</v>
      </c>
      <c r="H69" s="484">
        <v>0</v>
      </c>
      <c r="I69" s="485">
        <v>0</v>
      </c>
      <c r="J69" s="483" t="s">
        <v>821</v>
      </c>
      <c r="K69" s="484">
        <v>3404258</v>
      </c>
      <c r="L69" s="485">
        <v>2970771</v>
      </c>
      <c r="M69" s="483" t="s">
        <v>821</v>
      </c>
      <c r="N69" s="484">
        <v>91600</v>
      </c>
      <c r="O69" s="485">
        <v>56700</v>
      </c>
      <c r="P69" s="483" t="s">
        <v>821</v>
      </c>
      <c r="Q69" s="484">
        <v>0</v>
      </c>
      <c r="R69" s="485">
        <v>0</v>
      </c>
      <c r="S69" s="498">
        <f t="shared" si="4"/>
        <v>3844124</v>
      </c>
      <c r="T69" s="499">
        <f t="shared" si="5"/>
        <v>3179002</v>
      </c>
    </row>
    <row r="70" spans="1:20" ht="12.75">
      <c r="A70" s="480" t="s">
        <v>822</v>
      </c>
      <c r="B70" s="481">
        <v>12614361938</v>
      </c>
      <c r="C70" s="482">
        <v>13152794661</v>
      </c>
      <c r="D70" s="483" t="s">
        <v>822</v>
      </c>
      <c r="E70" s="484">
        <v>64552913</v>
      </c>
      <c r="F70" s="485">
        <v>28914436</v>
      </c>
      <c r="G70" s="483" t="s">
        <v>822</v>
      </c>
      <c r="H70" s="484">
        <v>7876744</v>
      </c>
      <c r="I70" s="485">
        <v>3849381</v>
      </c>
      <c r="J70" s="483" t="s">
        <v>822</v>
      </c>
      <c r="K70" s="484">
        <v>57079799</v>
      </c>
      <c r="L70" s="485">
        <v>67379738</v>
      </c>
      <c r="M70" s="483" t="s">
        <v>822</v>
      </c>
      <c r="N70" s="484">
        <v>4111455</v>
      </c>
      <c r="O70" s="485">
        <v>3970816</v>
      </c>
      <c r="P70" s="483" t="s">
        <v>822</v>
      </c>
      <c r="Q70" s="484">
        <v>7504624</v>
      </c>
      <c r="R70" s="485">
        <v>11599584</v>
      </c>
      <c r="S70" s="500">
        <f t="shared" si="4"/>
        <v>12755487473</v>
      </c>
      <c r="T70" s="501">
        <f t="shared" si="5"/>
        <v>13268508616</v>
      </c>
    </row>
    <row r="71" spans="1:20" ht="12.75">
      <c r="A71" s="473" t="s">
        <v>823</v>
      </c>
      <c r="B71" s="474">
        <v>9762462078</v>
      </c>
      <c r="C71" s="475">
        <v>9762462078</v>
      </c>
      <c r="D71" s="476" t="s">
        <v>823</v>
      </c>
      <c r="E71" s="477">
        <v>194497451</v>
      </c>
      <c r="F71" s="478">
        <v>194497451</v>
      </c>
      <c r="G71" s="476" t="s">
        <v>823</v>
      </c>
      <c r="H71" s="477">
        <v>82491344</v>
      </c>
      <c r="I71" s="478">
        <v>82491344</v>
      </c>
      <c r="J71" s="476" t="s">
        <v>823</v>
      </c>
      <c r="K71" s="477">
        <v>250523184</v>
      </c>
      <c r="L71" s="478">
        <v>250523184</v>
      </c>
      <c r="M71" s="476" t="s">
        <v>823</v>
      </c>
      <c r="N71" s="477">
        <v>412264530</v>
      </c>
      <c r="O71" s="478">
        <v>412264530</v>
      </c>
      <c r="P71" s="476" t="s">
        <v>823</v>
      </c>
      <c r="Q71" s="477">
        <v>82652849</v>
      </c>
      <c r="R71" s="478">
        <v>82652849</v>
      </c>
      <c r="S71" s="498">
        <f t="shared" si="4"/>
        <v>10784891436</v>
      </c>
      <c r="T71" s="499">
        <f t="shared" si="5"/>
        <v>10784891436</v>
      </c>
    </row>
    <row r="72" spans="1:20" ht="12.75">
      <c r="A72" s="473" t="s">
        <v>824</v>
      </c>
      <c r="B72" s="474">
        <v>795048130</v>
      </c>
      <c r="C72" s="475">
        <v>548129450</v>
      </c>
      <c r="D72" s="476" t="s">
        <v>824</v>
      </c>
      <c r="E72" s="477">
        <v>-8652005</v>
      </c>
      <c r="F72" s="478">
        <v>-8652005</v>
      </c>
      <c r="G72" s="476" t="s">
        <v>824</v>
      </c>
      <c r="H72" s="477">
        <v>-68458972</v>
      </c>
      <c r="I72" s="478">
        <v>-68458972</v>
      </c>
      <c r="J72" s="476" t="s">
        <v>824</v>
      </c>
      <c r="K72" s="477">
        <v>-153312145</v>
      </c>
      <c r="L72" s="478">
        <v>-153312145</v>
      </c>
      <c r="M72" s="476" t="s">
        <v>824</v>
      </c>
      <c r="N72" s="477">
        <v>-377402734</v>
      </c>
      <c r="O72" s="478">
        <v>-377119436</v>
      </c>
      <c r="P72" s="476" t="s">
        <v>824</v>
      </c>
      <c r="Q72" s="477">
        <v>-74270686</v>
      </c>
      <c r="R72" s="478">
        <v>-74253404</v>
      </c>
      <c r="S72" s="498">
        <f t="shared" si="4"/>
        <v>112951588</v>
      </c>
      <c r="T72" s="499">
        <f t="shared" si="5"/>
        <v>-133666512</v>
      </c>
    </row>
    <row r="73" spans="1:20" ht="26.25">
      <c r="A73" s="473" t="s">
        <v>825</v>
      </c>
      <c r="B73" s="474">
        <v>61662072</v>
      </c>
      <c r="C73" s="475">
        <v>61662072</v>
      </c>
      <c r="D73" s="476" t="s">
        <v>825</v>
      </c>
      <c r="E73" s="477">
        <v>160405</v>
      </c>
      <c r="F73" s="478">
        <v>160405</v>
      </c>
      <c r="G73" s="476" t="s">
        <v>825</v>
      </c>
      <c r="H73" s="477">
        <v>15815</v>
      </c>
      <c r="I73" s="478">
        <v>15815</v>
      </c>
      <c r="J73" s="476" t="s">
        <v>825</v>
      </c>
      <c r="K73" s="477">
        <v>0</v>
      </c>
      <c r="L73" s="478">
        <v>0</v>
      </c>
      <c r="M73" s="476" t="s">
        <v>825</v>
      </c>
      <c r="N73" s="477">
        <v>0</v>
      </c>
      <c r="O73" s="478">
        <v>0</v>
      </c>
      <c r="P73" s="476" t="s">
        <v>825</v>
      </c>
      <c r="Q73" s="477">
        <v>0</v>
      </c>
      <c r="R73" s="478">
        <v>0</v>
      </c>
      <c r="S73" s="498">
        <f t="shared" si="4"/>
        <v>61838292</v>
      </c>
      <c r="T73" s="499">
        <f t="shared" si="5"/>
        <v>61838292</v>
      </c>
    </row>
    <row r="74" spans="1:20" ht="26.25">
      <c r="A74" s="480" t="s">
        <v>826</v>
      </c>
      <c r="B74" s="481">
        <v>61662072</v>
      </c>
      <c r="C74" s="482">
        <v>61662072</v>
      </c>
      <c r="D74" s="483" t="s">
        <v>826</v>
      </c>
      <c r="E74" s="484">
        <v>160405</v>
      </c>
      <c r="F74" s="485">
        <v>160405</v>
      </c>
      <c r="G74" s="483" t="s">
        <v>826</v>
      </c>
      <c r="H74" s="484">
        <v>15815</v>
      </c>
      <c r="I74" s="485">
        <v>15815</v>
      </c>
      <c r="J74" s="483" t="s">
        <v>826</v>
      </c>
      <c r="K74" s="484">
        <v>0</v>
      </c>
      <c r="L74" s="485">
        <v>0</v>
      </c>
      <c r="M74" s="483" t="s">
        <v>826</v>
      </c>
      <c r="N74" s="484">
        <v>0</v>
      </c>
      <c r="O74" s="485">
        <v>0</v>
      </c>
      <c r="P74" s="483" t="s">
        <v>826</v>
      </c>
      <c r="Q74" s="484">
        <v>0</v>
      </c>
      <c r="R74" s="485">
        <v>0</v>
      </c>
      <c r="S74" s="500">
        <f t="shared" si="4"/>
        <v>61838292</v>
      </c>
      <c r="T74" s="501">
        <f t="shared" si="5"/>
        <v>61838292</v>
      </c>
    </row>
    <row r="75" spans="1:20" ht="12.75">
      <c r="A75" s="473" t="s">
        <v>827</v>
      </c>
      <c r="B75" s="474">
        <v>-1330538134</v>
      </c>
      <c r="C75" s="475">
        <v>-1427009690</v>
      </c>
      <c r="D75" s="476" t="s">
        <v>827</v>
      </c>
      <c r="E75" s="477">
        <v>-129730235</v>
      </c>
      <c r="F75" s="478">
        <v>-133987557</v>
      </c>
      <c r="G75" s="476" t="s">
        <v>827</v>
      </c>
      <c r="H75" s="477">
        <v>-15919988</v>
      </c>
      <c r="I75" s="478">
        <v>-10737541</v>
      </c>
      <c r="J75" s="476" t="s">
        <v>827</v>
      </c>
      <c r="K75" s="477">
        <v>-78743623</v>
      </c>
      <c r="L75" s="478">
        <v>-84066838</v>
      </c>
      <c r="M75" s="476" t="s">
        <v>827</v>
      </c>
      <c r="N75" s="477">
        <v>-26402720</v>
      </c>
      <c r="O75" s="478">
        <v>-36228831</v>
      </c>
      <c r="P75" s="476" t="s">
        <v>827</v>
      </c>
      <c r="Q75" s="477">
        <v>-22270371</v>
      </c>
      <c r="R75" s="478">
        <v>-25170492</v>
      </c>
      <c r="S75" s="498">
        <f t="shared" si="4"/>
        <v>-1603605071</v>
      </c>
      <c r="T75" s="499">
        <f t="shared" si="5"/>
        <v>-1717200949</v>
      </c>
    </row>
    <row r="76" spans="1:20" ht="12.75">
      <c r="A76" s="473" t="s">
        <v>828</v>
      </c>
      <c r="B76" s="474">
        <v>-96471556</v>
      </c>
      <c r="C76" s="475">
        <v>808851373</v>
      </c>
      <c r="D76" s="476" t="s">
        <v>828</v>
      </c>
      <c r="E76" s="477">
        <v>-4257322</v>
      </c>
      <c r="F76" s="478">
        <v>-34532834</v>
      </c>
      <c r="G76" s="476" t="s">
        <v>828</v>
      </c>
      <c r="H76" s="477">
        <v>5182447</v>
      </c>
      <c r="I76" s="478">
        <v>-9845923</v>
      </c>
      <c r="J76" s="476" t="s">
        <v>828</v>
      </c>
      <c r="K76" s="477">
        <v>-5323215</v>
      </c>
      <c r="L76" s="478">
        <v>13058006</v>
      </c>
      <c r="M76" s="476" t="s">
        <v>828</v>
      </c>
      <c r="N76" s="477">
        <v>-9827101</v>
      </c>
      <c r="O76" s="478">
        <v>-1051511</v>
      </c>
      <c r="P76" s="476" t="s">
        <v>828</v>
      </c>
      <c r="Q76" s="477">
        <v>-2902113</v>
      </c>
      <c r="R76" s="478">
        <v>-5007223</v>
      </c>
      <c r="S76" s="498">
        <f t="shared" si="4"/>
        <v>-113598860</v>
      </c>
      <c r="T76" s="499">
        <f t="shared" si="5"/>
        <v>771471888</v>
      </c>
    </row>
    <row r="77" spans="1:20" ht="12.75">
      <c r="A77" s="480" t="s">
        <v>829</v>
      </c>
      <c r="B77" s="481">
        <v>9192162590</v>
      </c>
      <c r="C77" s="482">
        <v>9754095283</v>
      </c>
      <c r="D77" s="483" t="s">
        <v>829</v>
      </c>
      <c r="E77" s="484">
        <v>52018294</v>
      </c>
      <c r="F77" s="485">
        <v>17485460</v>
      </c>
      <c r="G77" s="483" t="s">
        <v>829</v>
      </c>
      <c r="H77" s="484">
        <v>3310646</v>
      </c>
      <c r="I77" s="485">
        <v>-6535277</v>
      </c>
      <c r="J77" s="483" t="s">
        <v>829</v>
      </c>
      <c r="K77" s="484">
        <v>13144201</v>
      </c>
      <c r="L77" s="485">
        <v>26202207</v>
      </c>
      <c r="M77" s="483" t="s">
        <v>829</v>
      </c>
      <c r="N77" s="484">
        <v>-1368025</v>
      </c>
      <c r="O77" s="485">
        <v>-2135248</v>
      </c>
      <c r="P77" s="483" t="s">
        <v>829</v>
      </c>
      <c r="Q77" s="484">
        <v>-16790321</v>
      </c>
      <c r="R77" s="485">
        <v>-21778270</v>
      </c>
      <c r="S77" s="500">
        <f t="shared" si="4"/>
        <v>9242477385</v>
      </c>
      <c r="T77" s="501">
        <f t="shared" si="5"/>
        <v>9767334155</v>
      </c>
    </row>
    <row r="78" spans="1:20" ht="26.25">
      <c r="A78" s="473" t="s">
        <v>830</v>
      </c>
      <c r="B78" s="474">
        <v>8790</v>
      </c>
      <c r="C78" s="475">
        <v>8790</v>
      </c>
      <c r="D78" s="476" t="s">
        <v>830</v>
      </c>
      <c r="E78" s="477">
        <v>0</v>
      </c>
      <c r="F78" s="478">
        <v>0</v>
      </c>
      <c r="G78" s="476" t="s">
        <v>830</v>
      </c>
      <c r="H78" s="477">
        <v>0</v>
      </c>
      <c r="I78" s="478">
        <v>0</v>
      </c>
      <c r="J78" s="476" t="s">
        <v>830</v>
      </c>
      <c r="K78" s="477">
        <v>0</v>
      </c>
      <c r="L78" s="478">
        <v>0</v>
      </c>
      <c r="M78" s="476" t="s">
        <v>830</v>
      </c>
      <c r="N78" s="477">
        <v>0</v>
      </c>
      <c r="O78" s="478">
        <v>0</v>
      </c>
      <c r="P78" s="476" t="s">
        <v>830</v>
      </c>
      <c r="Q78" s="477">
        <v>0</v>
      </c>
      <c r="R78" s="478">
        <v>0</v>
      </c>
      <c r="S78" s="498">
        <f t="shared" si="4"/>
        <v>8790</v>
      </c>
      <c r="T78" s="499">
        <f t="shared" si="5"/>
        <v>8790</v>
      </c>
    </row>
    <row r="79" spans="1:20" ht="26.25">
      <c r="A79" s="473" t="s">
        <v>831</v>
      </c>
      <c r="B79" s="474">
        <v>3859451</v>
      </c>
      <c r="C79" s="475">
        <v>1079340</v>
      </c>
      <c r="D79" s="476" t="s">
        <v>831</v>
      </c>
      <c r="E79" s="477">
        <v>1583468</v>
      </c>
      <c r="F79" s="478">
        <v>0</v>
      </c>
      <c r="G79" s="476" t="s">
        <v>831</v>
      </c>
      <c r="H79" s="477">
        <v>1</v>
      </c>
      <c r="I79" s="478">
        <v>134400</v>
      </c>
      <c r="J79" s="476" t="s">
        <v>831</v>
      </c>
      <c r="K79" s="477">
        <v>1185046</v>
      </c>
      <c r="L79" s="478">
        <v>2276158</v>
      </c>
      <c r="M79" s="476" t="s">
        <v>831</v>
      </c>
      <c r="N79" s="477">
        <v>285280</v>
      </c>
      <c r="O79" s="478">
        <v>0</v>
      </c>
      <c r="P79" s="476" t="s">
        <v>831</v>
      </c>
      <c r="Q79" s="477">
        <v>19274</v>
      </c>
      <c r="R79" s="478">
        <v>95469</v>
      </c>
      <c r="S79" s="498">
        <f t="shared" si="4"/>
        <v>6932520</v>
      </c>
      <c r="T79" s="499">
        <f t="shared" si="5"/>
        <v>3585367</v>
      </c>
    </row>
    <row r="80" spans="1:20" ht="26.25">
      <c r="A80" s="473" t="s">
        <v>832</v>
      </c>
      <c r="B80" s="474">
        <v>5000000</v>
      </c>
      <c r="C80" s="475">
        <v>5000000</v>
      </c>
      <c r="D80" s="476" t="s">
        <v>832</v>
      </c>
      <c r="E80" s="477">
        <v>0</v>
      </c>
      <c r="F80" s="478">
        <v>0</v>
      </c>
      <c r="G80" s="476" t="s">
        <v>832</v>
      </c>
      <c r="H80" s="477">
        <v>0</v>
      </c>
      <c r="I80" s="478">
        <v>0</v>
      </c>
      <c r="J80" s="476" t="s">
        <v>832</v>
      </c>
      <c r="K80" s="477">
        <v>0</v>
      </c>
      <c r="L80" s="478">
        <v>0</v>
      </c>
      <c r="M80" s="476" t="s">
        <v>832</v>
      </c>
      <c r="N80" s="477">
        <v>0</v>
      </c>
      <c r="O80" s="478">
        <v>0</v>
      </c>
      <c r="P80" s="476" t="s">
        <v>832</v>
      </c>
      <c r="Q80" s="477">
        <v>0</v>
      </c>
      <c r="R80" s="478">
        <v>0</v>
      </c>
      <c r="S80" s="498">
        <f t="shared" si="4"/>
        <v>5000000</v>
      </c>
      <c r="T80" s="499">
        <f t="shared" si="5"/>
        <v>5000000</v>
      </c>
    </row>
    <row r="81" spans="1:20" ht="26.25">
      <c r="A81" s="473" t="s">
        <v>833</v>
      </c>
      <c r="B81" s="474">
        <v>23344187</v>
      </c>
      <c r="C81" s="475">
        <v>3000000</v>
      </c>
      <c r="D81" s="476" t="s">
        <v>833</v>
      </c>
      <c r="E81" s="477">
        <v>0</v>
      </c>
      <c r="F81" s="478">
        <v>0</v>
      </c>
      <c r="G81" s="476" t="s">
        <v>833</v>
      </c>
      <c r="H81" s="477">
        <v>0</v>
      </c>
      <c r="I81" s="478">
        <v>0</v>
      </c>
      <c r="J81" s="476" t="s">
        <v>833</v>
      </c>
      <c r="K81" s="477">
        <v>0</v>
      </c>
      <c r="L81" s="478">
        <v>0</v>
      </c>
      <c r="M81" s="476" t="s">
        <v>833</v>
      </c>
      <c r="N81" s="477">
        <v>0</v>
      </c>
      <c r="O81" s="478">
        <v>0</v>
      </c>
      <c r="P81" s="476" t="s">
        <v>833</v>
      </c>
      <c r="Q81" s="477">
        <v>0</v>
      </c>
      <c r="R81" s="478">
        <v>0</v>
      </c>
      <c r="S81" s="498">
        <f aca="true" t="shared" si="6" ref="S81:S100">B81+E81+H81+K81+N81+Q81</f>
        <v>23344187</v>
      </c>
      <c r="T81" s="499">
        <f aca="true" t="shared" si="7" ref="T81:T100">C81+F81+I81+L81+O81+R81</f>
        <v>3000000</v>
      </c>
    </row>
    <row r="82" spans="1:20" ht="26.25">
      <c r="A82" s="480" t="s">
        <v>834</v>
      </c>
      <c r="B82" s="481">
        <v>32212428</v>
      </c>
      <c r="C82" s="482">
        <v>9088130</v>
      </c>
      <c r="D82" s="483" t="s">
        <v>834</v>
      </c>
      <c r="E82" s="484">
        <v>1583468</v>
      </c>
      <c r="F82" s="485">
        <v>0</v>
      </c>
      <c r="G82" s="483" t="s">
        <v>834</v>
      </c>
      <c r="H82" s="484">
        <v>1</v>
      </c>
      <c r="I82" s="485">
        <v>134400</v>
      </c>
      <c r="J82" s="483" t="s">
        <v>834</v>
      </c>
      <c r="K82" s="484">
        <v>1185046</v>
      </c>
      <c r="L82" s="485">
        <v>2276158</v>
      </c>
      <c r="M82" s="483" t="s">
        <v>834</v>
      </c>
      <c r="N82" s="484">
        <v>285280</v>
      </c>
      <c r="O82" s="485">
        <v>0</v>
      </c>
      <c r="P82" s="483" t="s">
        <v>834</v>
      </c>
      <c r="Q82" s="484">
        <v>19274</v>
      </c>
      <c r="R82" s="485">
        <v>95469</v>
      </c>
      <c r="S82" s="500">
        <f t="shared" si="6"/>
        <v>35285497</v>
      </c>
      <c r="T82" s="501">
        <f t="shared" si="7"/>
        <v>11594157</v>
      </c>
    </row>
    <row r="83" spans="1:20" ht="26.25">
      <c r="A83" s="473" t="s">
        <v>835</v>
      </c>
      <c r="B83" s="474">
        <v>5939113</v>
      </c>
      <c r="C83" s="475">
        <v>4126491</v>
      </c>
      <c r="D83" s="476" t="s">
        <v>835</v>
      </c>
      <c r="E83" s="477">
        <v>265395</v>
      </c>
      <c r="F83" s="478">
        <v>1105886</v>
      </c>
      <c r="G83" s="476" t="s">
        <v>835</v>
      </c>
      <c r="H83" s="477">
        <v>47752</v>
      </c>
      <c r="I83" s="478">
        <v>102129</v>
      </c>
      <c r="J83" s="476" t="s">
        <v>835</v>
      </c>
      <c r="K83" s="477">
        <v>386933</v>
      </c>
      <c r="L83" s="478">
        <v>0</v>
      </c>
      <c r="M83" s="476" t="s">
        <v>835</v>
      </c>
      <c r="N83" s="477">
        <v>0</v>
      </c>
      <c r="O83" s="478">
        <v>0</v>
      </c>
      <c r="P83" s="476" t="s">
        <v>835</v>
      </c>
      <c r="Q83" s="477">
        <v>0</v>
      </c>
      <c r="R83" s="478">
        <v>0</v>
      </c>
      <c r="S83" s="498">
        <f t="shared" si="6"/>
        <v>6639193</v>
      </c>
      <c r="T83" s="499">
        <f t="shared" si="7"/>
        <v>5334506</v>
      </c>
    </row>
    <row r="84" spans="1:20" ht="26.25">
      <c r="A84" s="473" t="s">
        <v>836</v>
      </c>
      <c r="B84" s="474">
        <v>0</v>
      </c>
      <c r="C84" s="475">
        <v>1505272</v>
      </c>
      <c r="D84" s="476" t="s">
        <v>836</v>
      </c>
      <c r="E84" s="477">
        <v>0</v>
      </c>
      <c r="F84" s="478">
        <v>0</v>
      </c>
      <c r="G84" s="476" t="s">
        <v>836</v>
      </c>
      <c r="H84" s="477">
        <v>0</v>
      </c>
      <c r="I84" s="478">
        <v>0</v>
      </c>
      <c r="J84" s="476" t="s">
        <v>836</v>
      </c>
      <c r="K84" s="477">
        <v>0</v>
      </c>
      <c r="L84" s="478">
        <v>0</v>
      </c>
      <c r="M84" s="476" t="s">
        <v>836</v>
      </c>
      <c r="N84" s="477">
        <v>0</v>
      </c>
      <c r="O84" s="478">
        <v>0</v>
      </c>
      <c r="P84" s="476" t="s">
        <v>836</v>
      </c>
      <c r="Q84" s="477">
        <v>0</v>
      </c>
      <c r="R84" s="478">
        <v>0</v>
      </c>
      <c r="S84" s="498">
        <f t="shared" si="6"/>
        <v>0</v>
      </c>
      <c r="T84" s="499">
        <f t="shared" si="7"/>
        <v>1505272</v>
      </c>
    </row>
    <row r="85" spans="1:20" ht="26.25">
      <c r="A85" s="473" t="s">
        <v>837</v>
      </c>
      <c r="B85" s="474">
        <v>90000</v>
      </c>
      <c r="C85" s="475">
        <v>109193</v>
      </c>
      <c r="D85" s="476" t="s">
        <v>837</v>
      </c>
      <c r="E85" s="477">
        <v>0</v>
      </c>
      <c r="F85" s="478">
        <v>0</v>
      </c>
      <c r="G85" s="476" t="s">
        <v>837</v>
      </c>
      <c r="H85" s="477">
        <v>0</v>
      </c>
      <c r="I85" s="478">
        <v>0</v>
      </c>
      <c r="J85" s="476" t="s">
        <v>837</v>
      </c>
      <c r="K85" s="477">
        <v>0</v>
      </c>
      <c r="L85" s="478">
        <v>0</v>
      </c>
      <c r="M85" s="476" t="s">
        <v>837</v>
      </c>
      <c r="N85" s="477">
        <v>0</v>
      </c>
      <c r="O85" s="478">
        <v>0</v>
      </c>
      <c r="P85" s="476" t="s">
        <v>837</v>
      </c>
      <c r="Q85" s="477">
        <v>0</v>
      </c>
      <c r="R85" s="478">
        <v>0</v>
      </c>
      <c r="S85" s="498">
        <f t="shared" si="6"/>
        <v>90000</v>
      </c>
      <c r="T85" s="499">
        <f t="shared" si="7"/>
        <v>109193</v>
      </c>
    </row>
    <row r="86" spans="1:20" ht="26.25">
      <c r="A86" s="473" t="s">
        <v>838</v>
      </c>
      <c r="B86" s="474">
        <v>4413250</v>
      </c>
      <c r="C86" s="475">
        <v>0</v>
      </c>
      <c r="D86" s="476" t="s">
        <v>838</v>
      </c>
      <c r="E86" s="477">
        <v>0</v>
      </c>
      <c r="F86" s="478">
        <v>0</v>
      </c>
      <c r="G86" s="476" t="s">
        <v>838</v>
      </c>
      <c r="H86" s="477">
        <v>149225</v>
      </c>
      <c r="I86" s="478">
        <v>0</v>
      </c>
      <c r="J86" s="476" t="s">
        <v>838</v>
      </c>
      <c r="K86" s="477">
        <v>0</v>
      </c>
      <c r="L86" s="478">
        <v>0</v>
      </c>
      <c r="M86" s="476" t="s">
        <v>838</v>
      </c>
      <c r="N86" s="477">
        <v>0</v>
      </c>
      <c r="O86" s="478">
        <v>0</v>
      </c>
      <c r="P86" s="476" t="s">
        <v>838</v>
      </c>
      <c r="Q86" s="477">
        <v>0</v>
      </c>
      <c r="R86" s="478">
        <v>0</v>
      </c>
      <c r="S86" s="498">
        <f t="shared" si="6"/>
        <v>4562475</v>
      </c>
      <c r="T86" s="499">
        <f t="shared" si="7"/>
        <v>0</v>
      </c>
    </row>
    <row r="87" spans="1:20" ht="26.25">
      <c r="A87" s="473" t="s">
        <v>839</v>
      </c>
      <c r="B87" s="474">
        <v>0</v>
      </c>
      <c r="C87" s="475">
        <v>209937</v>
      </c>
      <c r="D87" s="476" t="s">
        <v>839</v>
      </c>
      <c r="E87" s="477">
        <v>0</v>
      </c>
      <c r="F87" s="478">
        <v>0</v>
      </c>
      <c r="G87" s="476" t="s">
        <v>839</v>
      </c>
      <c r="H87" s="477">
        <v>0</v>
      </c>
      <c r="I87" s="478">
        <v>0</v>
      </c>
      <c r="J87" s="476" t="s">
        <v>839</v>
      </c>
      <c r="K87" s="477">
        <v>0</v>
      </c>
      <c r="L87" s="478">
        <v>0</v>
      </c>
      <c r="M87" s="476" t="s">
        <v>839</v>
      </c>
      <c r="N87" s="477">
        <v>0</v>
      </c>
      <c r="O87" s="478">
        <v>0</v>
      </c>
      <c r="P87" s="476" t="s">
        <v>839</v>
      </c>
      <c r="Q87" s="477">
        <v>0</v>
      </c>
      <c r="R87" s="478">
        <v>0</v>
      </c>
      <c r="S87" s="498">
        <f t="shared" si="6"/>
        <v>0</v>
      </c>
      <c r="T87" s="499">
        <f t="shared" si="7"/>
        <v>209937</v>
      </c>
    </row>
    <row r="88" spans="1:20" ht="26.25">
      <c r="A88" s="473" t="s">
        <v>840</v>
      </c>
      <c r="B88" s="474">
        <v>25331220</v>
      </c>
      <c r="C88" s="475">
        <v>24433281</v>
      </c>
      <c r="D88" s="476" t="s">
        <v>840</v>
      </c>
      <c r="E88" s="477">
        <v>0</v>
      </c>
      <c r="F88" s="478">
        <v>0</v>
      </c>
      <c r="G88" s="476" t="s">
        <v>840</v>
      </c>
      <c r="H88" s="477">
        <v>0</v>
      </c>
      <c r="I88" s="478">
        <v>0</v>
      </c>
      <c r="J88" s="476" t="s">
        <v>840</v>
      </c>
      <c r="K88" s="477">
        <v>0</v>
      </c>
      <c r="L88" s="478">
        <v>0</v>
      </c>
      <c r="M88" s="476" t="s">
        <v>840</v>
      </c>
      <c r="N88" s="477">
        <v>0</v>
      </c>
      <c r="O88" s="478">
        <v>0</v>
      </c>
      <c r="P88" s="476" t="s">
        <v>840</v>
      </c>
      <c r="Q88" s="477">
        <v>0</v>
      </c>
      <c r="R88" s="478">
        <v>0</v>
      </c>
      <c r="S88" s="498">
        <f t="shared" si="6"/>
        <v>25331220</v>
      </c>
      <c r="T88" s="499">
        <f t="shared" si="7"/>
        <v>24433281</v>
      </c>
    </row>
    <row r="89" spans="1:20" ht="39">
      <c r="A89" s="473" t="s">
        <v>841</v>
      </c>
      <c r="B89" s="474">
        <v>25331220</v>
      </c>
      <c r="C89" s="475">
        <v>24433281</v>
      </c>
      <c r="D89" s="476" t="s">
        <v>841</v>
      </c>
      <c r="E89" s="477">
        <v>0</v>
      </c>
      <c r="F89" s="478">
        <v>0</v>
      </c>
      <c r="G89" s="476" t="s">
        <v>841</v>
      </c>
      <c r="H89" s="477">
        <v>0</v>
      </c>
      <c r="I89" s="478">
        <v>0</v>
      </c>
      <c r="J89" s="476" t="s">
        <v>841</v>
      </c>
      <c r="K89" s="477">
        <v>0</v>
      </c>
      <c r="L89" s="478">
        <v>0</v>
      </c>
      <c r="M89" s="476" t="s">
        <v>841</v>
      </c>
      <c r="N89" s="477">
        <v>0</v>
      </c>
      <c r="O89" s="478">
        <v>0</v>
      </c>
      <c r="P89" s="476" t="s">
        <v>841</v>
      </c>
      <c r="Q89" s="477">
        <v>0</v>
      </c>
      <c r="R89" s="478">
        <v>0</v>
      </c>
      <c r="S89" s="498">
        <f t="shared" si="6"/>
        <v>25331220</v>
      </c>
      <c r="T89" s="499">
        <f t="shared" si="7"/>
        <v>24433281</v>
      </c>
    </row>
    <row r="90" spans="1:20" ht="26.25">
      <c r="A90" s="480" t="s">
        <v>842</v>
      </c>
      <c r="B90" s="481">
        <v>35773583</v>
      </c>
      <c r="C90" s="482">
        <v>30384174</v>
      </c>
      <c r="D90" s="483" t="s">
        <v>842</v>
      </c>
      <c r="E90" s="484">
        <v>265395</v>
      </c>
      <c r="F90" s="485">
        <v>1105886</v>
      </c>
      <c r="G90" s="483" t="s">
        <v>842</v>
      </c>
      <c r="H90" s="484">
        <v>196977</v>
      </c>
      <c r="I90" s="485">
        <v>102129</v>
      </c>
      <c r="J90" s="483" t="s">
        <v>842</v>
      </c>
      <c r="K90" s="484">
        <v>386933</v>
      </c>
      <c r="L90" s="485">
        <v>0</v>
      </c>
      <c r="M90" s="483" t="s">
        <v>842</v>
      </c>
      <c r="N90" s="484">
        <v>0</v>
      </c>
      <c r="O90" s="485">
        <v>0</v>
      </c>
      <c r="P90" s="483" t="s">
        <v>842</v>
      </c>
      <c r="Q90" s="484">
        <v>0</v>
      </c>
      <c r="R90" s="485">
        <v>0</v>
      </c>
      <c r="S90" s="500">
        <f t="shared" si="6"/>
        <v>36622888</v>
      </c>
      <c r="T90" s="501">
        <f t="shared" si="7"/>
        <v>31592189</v>
      </c>
    </row>
    <row r="91" spans="1:20" ht="12.75">
      <c r="A91" s="473" t="s">
        <v>843</v>
      </c>
      <c r="B91" s="474">
        <v>38181507</v>
      </c>
      <c r="C91" s="475">
        <v>38984634</v>
      </c>
      <c r="D91" s="476" t="s">
        <v>843</v>
      </c>
      <c r="E91" s="477">
        <v>14123</v>
      </c>
      <c r="F91" s="478">
        <v>0</v>
      </c>
      <c r="G91" s="476" t="s">
        <v>843</v>
      </c>
      <c r="H91" s="477">
        <v>0</v>
      </c>
      <c r="I91" s="478">
        <v>0</v>
      </c>
      <c r="J91" s="476" t="s">
        <v>843</v>
      </c>
      <c r="K91" s="477">
        <v>9990492</v>
      </c>
      <c r="L91" s="478">
        <v>6600048</v>
      </c>
      <c r="M91" s="476" t="s">
        <v>843</v>
      </c>
      <c r="N91" s="477">
        <v>847717</v>
      </c>
      <c r="O91" s="478">
        <v>753780</v>
      </c>
      <c r="P91" s="476" t="s">
        <v>843</v>
      </c>
      <c r="Q91" s="477">
        <v>0</v>
      </c>
      <c r="R91" s="478">
        <v>0</v>
      </c>
      <c r="S91" s="498">
        <f t="shared" si="6"/>
        <v>49033839</v>
      </c>
      <c r="T91" s="499">
        <f t="shared" si="7"/>
        <v>46338462</v>
      </c>
    </row>
    <row r="92" spans="1:20" ht="26.25">
      <c r="A92" s="473" t="s">
        <v>844</v>
      </c>
      <c r="B92" s="474">
        <v>0</v>
      </c>
      <c r="C92" s="475">
        <v>0</v>
      </c>
      <c r="D92" s="476" t="s">
        <v>844</v>
      </c>
      <c r="E92" s="477">
        <v>0</v>
      </c>
      <c r="F92" s="478">
        <v>0</v>
      </c>
      <c r="G92" s="476" t="s">
        <v>844</v>
      </c>
      <c r="H92" s="477">
        <v>0</v>
      </c>
      <c r="I92" s="478">
        <v>0</v>
      </c>
      <c r="J92" s="476" t="s">
        <v>844</v>
      </c>
      <c r="K92" s="477">
        <v>0</v>
      </c>
      <c r="L92" s="478">
        <v>0</v>
      </c>
      <c r="M92" s="476" t="s">
        <v>844</v>
      </c>
      <c r="N92" s="477">
        <v>0</v>
      </c>
      <c r="O92" s="478">
        <v>0</v>
      </c>
      <c r="P92" s="476" t="s">
        <v>844</v>
      </c>
      <c r="Q92" s="477">
        <v>0</v>
      </c>
      <c r="R92" s="478">
        <v>0</v>
      </c>
      <c r="S92" s="498">
        <f t="shared" si="6"/>
        <v>0</v>
      </c>
      <c r="T92" s="499">
        <f t="shared" si="7"/>
        <v>0</v>
      </c>
    </row>
    <row r="93" spans="1:20" ht="12.75">
      <c r="A93" s="473" t="s">
        <v>845</v>
      </c>
      <c r="B93" s="474">
        <v>7854657</v>
      </c>
      <c r="C93" s="475">
        <v>7214719</v>
      </c>
      <c r="D93" s="476" t="s">
        <v>845</v>
      </c>
      <c r="E93" s="477">
        <v>0</v>
      </c>
      <c r="F93" s="478">
        <v>0</v>
      </c>
      <c r="G93" s="476" t="s">
        <v>845</v>
      </c>
      <c r="H93" s="477">
        <v>0</v>
      </c>
      <c r="I93" s="478">
        <v>0</v>
      </c>
      <c r="J93" s="476" t="s">
        <v>845</v>
      </c>
      <c r="K93" s="477">
        <v>0</v>
      </c>
      <c r="L93" s="478">
        <v>0</v>
      </c>
      <c r="M93" s="476" t="s">
        <v>845</v>
      </c>
      <c r="N93" s="477">
        <v>0</v>
      </c>
      <c r="O93" s="478">
        <v>0</v>
      </c>
      <c r="P93" s="476" t="s">
        <v>845</v>
      </c>
      <c r="Q93" s="477">
        <v>0</v>
      </c>
      <c r="R93" s="478">
        <v>0</v>
      </c>
      <c r="S93" s="498">
        <f t="shared" si="6"/>
        <v>7854657</v>
      </c>
      <c r="T93" s="499">
        <f t="shared" si="7"/>
        <v>7214719</v>
      </c>
    </row>
    <row r="94" spans="1:20" ht="12.75">
      <c r="A94" s="473" t="s">
        <v>846</v>
      </c>
      <c r="B94" s="474">
        <v>0</v>
      </c>
      <c r="C94" s="475">
        <v>0</v>
      </c>
      <c r="D94" s="476" t="s">
        <v>846</v>
      </c>
      <c r="E94" s="477">
        <v>0</v>
      </c>
      <c r="F94" s="478">
        <v>0</v>
      </c>
      <c r="G94" s="476" t="s">
        <v>846</v>
      </c>
      <c r="H94" s="477">
        <v>0</v>
      </c>
      <c r="I94" s="478">
        <v>0</v>
      </c>
      <c r="J94" s="476" t="s">
        <v>846</v>
      </c>
      <c r="K94" s="477">
        <v>0</v>
      </c>
      <c r="L94" s="478">
        <v>0</v>
      </c>
      <c r="M94" s="476" t="s">
        <v>846</v>
      </c>
      <c r="N94" s="477">
        <v>0</v>
      </c>
      <c r="O94" s="478">
        <v>0</v>
      </c>
      <c r="P94" s="476" t="s">
        <v>846</v>
      </c>
      <c r="Q94" s="477">
        <v>0</v>
      </c>
      <c r="R94" s="478">
        <v>0</v>
      </c>
      <c r="S94" s="498">
        <f t="shared" si="6"/>
        <v>0</v>
      </c>
      <c r="T94" s="499">
        <f t="shared" si="7"/>
        <v>0</v>
      </c>
    </row>
    <row r="95" spans="1:20" ht="26.25">
      <c r="A95" s="480" t="s">
        <v>847</v>
      </c>
      <c r="B95" s="481">
        <v>46036164</v>
      </c>
      <c r="C95" s="482">
        <v>46199353</v>
      </c>
      <c r="D95" s="483" t="s">
        <v>847</v>
      </c>
      <c r="E95" s="484">
        <v>14123</v>
      </c>
      <c r="F95" s="485">
        <v>0</v>
      </c>
      <c r="G95" s="483" t="s">
        <v>847</v>
      </c>
      <c r="H95" s="484">
        <v>0</v>
      </c>
      <c r="I95" s="485">
        <v>0</v>
      </c>
      <c r="J95" s="483" t="s">
        <v>847</v>
      </c>
      <c r="K95" s="484">
        <v>9990492</v>
      </c>
      <c r="L95" s="485">
        <v>6600048</v>
      </c>
      <c r="M95" s="483" t="s">
        <v>847</v>
      </c>
      <c r="N95" s="484">
        <v>847717</v>
      </c>
      <c r="O95" s="485">
        <v>753780</v>
      </c>
      <c r="P95" s="483" t="s">
        <v>847</v>
      </c>
      <c r="Q95" s="484">
        <v>0</v>
      </c>
      <c r="R95" s="485">
        <v>0</v>
      </c>
      <c r="S95" s="500">
        <f t="shared" si="6"/>
        <v>56888496</v>
      </c>
      <c r="T95" s="501">
        <f t="shared" si="7"/>
        <v>53553181</v>
      </c>
    </row>
    <row r="96" spans="1:20" ht="12.75">
      <c r="A96" s="480" t="s">
        <v>848</v>
      </c>
      <c r="B96" s="481">
        <v>114022175</v>
      </c>
      <c r="C96" s="482">
        <v>85671657</v>
      </c>
      <c r="D96" s="483" t="s">
        <v>848</v>
      </c>
      <c r="E96" s="484">
        <v>1862986</v>
      </c>
      <c r="F96" s="485">
        <v>1105886</v>
      </c>
      <c r="G96" s="483" t="s">
        <v>848</v>
      </c>
      <c r="H96" s="484">
        <v>196978</v>
      </c>
      <c r="I96" s="485">
        <v>236529</v>
      </c>
      <c r="J96" s="483" t="s">
        <v>848</v>
      </c>
      <c r="K96" s="484">
        <v>11562471</v>
      </c>
      <c r="L96" s="485">
        <v>8876206</v>
      </c>
      <c r="M96" s="483" t="s">
        <v>848</v>
      </c>
      <c r="N96" s="484">
        <v>1132997</v>
      </c>
      <c r="O96" s="485">
        <v>753780</v>
      </c>
      <c r="P96" s="483" t="s">
        <v>848</v>
      </c>
      <c r="Q96" s="484">
        <v>19274</v>
      </c>
      <c r="R96" s="485">
        <v>95469</v>
      </c>
      <c r="S96" s="500">
        <f t="shared" si="6"/>
        <v>128796881</v>
      </c>
      <c r="T96" s="501">
        <f t="shared" si="7"/>
        <v>96739527</v>
      </c>
    </row>
    <row r="97" spans="1:20" ht="12.75">
      <c r="A97" s="473" t="s">
        <v>849</v>
      </c>
      <c r="B97" s="474">
        <v>5832386</v>
      </c>
      <c r="C97" s="475">
        <v>10682934</v>
      </c>
      <c r="D97" s="476" t="s">
        <v>849</v>
      </c>
      <c r="E97" s="477">
        <v>10671633</v>
      </c>
      <c r="F97" s="478">
        <v>10323090</v>
      </c>
      <c r="G97" s="476" t="s">
        <v>849</v>
      </c>
      <c r="H97" s="477">
        <v>0</v>
      </c>
      <c r="I97" s="478">
        <v>5779009</v>
      </c>
      <c r="J97" s="476" t="s">
        <v>849</v>
      </c>
      <c r="K97" s="477">
        <v>32373127</v>
      </c>
      <c r="L97" s="478">
        <v>32301325</v>
      </c>
      <c r="M97" s="476" t="s">
        <v>849</v>
      </c>
      <c r="N97" s="477">
        <v>4346483</v>
      </c>
      <c r="O97" s="478">
        <v>5352284</v>
      </c>
      <c r="P97" s="476" t="s">
        <v>849</v>
      </c>
      <c r="Q97" s="477">
        <v>24275671</v>
      </c>
      <c r="R97" s="478">
        <v>33282385</v>
      </c>
      <c r="S97" s="498">
        <f t="shared" si="6"/>
        <v>77499300</v>
      </c>
      <c r="T97" s="499">
        <f t="shared" si="7"/>
        <v>97721027</v>
      </c>
    </row>
    <row r="98" spans="1:20" ht="12.75">
      <c r="A98" s="473" t="s">
        <v>850</v>
      </c>
      <c r="B98" s="474">
        <v>3302344787</v>
      </c>
      <c r="C98" s="475">
        <v>3302344787</v>
      </c>
      <c r="D98" s="476" t="s">
        <v>850</v>
      </c>
      <c r="E98" s="477">
        <v>0</v>
      </c>
      <c r="F98" s="478">
        <v>0</v>
      </c>
      <c r="G98" s="476" t="s">
        <v>850</v>
      </c>
      <c r="H98" s="477">
        <v>4369120</v>
      </c>
      <c r="I98" s="478">
        <v>4369120</v>
      </c>
      <c r="J98" s="476" t="s">
        <v>850</v>
      </c>
      <c r="K98" s="477">
        <v>0</v>
      </c>
      <c r="L98" s="478">
        <v>0</v>
      </c>
      <c r="M98" s="476" t="s">
        <v>850</v>
      </c>
      <c r="N98" s="477">
        <v>0</v>
      </c>
      <c r="O98" s="478">
        <v>0</v>
      </c>
      <c r="P98" s="476" t="s">
        <v>850</v>
      </c>
      <c r="Q98" s="477">
        <v>0</v>
      </c>
      <c r="R98" s="478">
        <v>0</v>
      </c>
      <c r="S98" s="498">
        <f t="shared" si="6"/>
        <v>3306713907</v>
      </c>
      <c r="T98" s="499">
        <f t="shared" si="7"/>
        <v>3306713907</v>
      </c>
    </row>
    <row r="99" spans="1:20" ht="12.75">
      <c r="A99" s="480" t="s">
        <v>851</v>
      </c>
      <c r="B99" s="481">
        <v>3308177173</v>
      </c>
      <c r="C99" s="482">
        <v>3313027721</v>
      </c>
      <c r="D99" s="483" t="s">
        <v>851</v>
      </c>
      <c r="E99" s="484">
        <v>10671633</v>
      </c>
      <c r="F99" s="485">
        <v>10323090</v>
      </c>
      <c r="G99" s="483" t="s">
        <v>851</v>
      </c>
      <c r="H99" s="484">
        <v>4369120</v>
      </c>
      <c r="I99" s="485">
        <v>10148129</v>
      </c>
      <c r="J99" s="483" t="s">
        <v>851</v>
      </c>
      <c r="K99" s="484">
        <v>32373127</v>
      </c>
      <c r="L99" s="485">
        <v>32301325</v>
      </c>
      <c r="M99" s="483" t="s">
        <v>851</v>
      </c>
      <c r="N99" s="484">
        <v>4346483</v>
      </c>
      <c r="O99" s="485">
        <v>5352284</v>
      </c>
      <c r="P99" s="483" t="s">
        <v>851</v>
      </c>
      <c r="Q99" s="484">
        <v>24275671</v>
      </c>
      <c r="R99" s="485">
        <v>33282385</v>
      </c>
      <c r="S99" s="500">
        <f t="shared" si="6"/>
        <v>3384213207</v>
      </c>
      <c r="T99" s="501">
        <f t="shared" si="7"/>
        <v>3404434934</v>
      </c>
    </row>
    <row r="100" spans="1:20" ht="13.5" thickBot="1">
      <c r="A100" s="486" t="s">
        <v>852</v>
      </c>
      <c r="B100" s="487">
        <v>12614361938</v>
      </c>
      <c r="C100" s="488">
        <v>13152794661</v>
      </c>
      <c r="D100" s="486" t="s">
        <v>852</v>
      </c>
      <c r="E100" s="487">
        <v>64552913</v>
      </c>
      <c r="F100" s="488">
        <v>28914436</v>
      </c>
      <c r="G100" s="486" t="s">
        <v>852</v>
      </c>
      <c r="H100" s="487">
        <v>7876744</v>
      </c>
      <c r="I100" s="488">
        <v>3849381</v>
      </c>
      <c r="J100" s="486" t="s">
        <v>852</v>
      </c>
      <c r="K100" s="487">
        <v>57079799</v>
      </c>
      <c r="L100" s="488">
        <v>67379738</v>
      </c>
      <c r="M100" s="486" t="s">
        <v>852</v>
      </c>
      <c r="N100" s="487">
        <v>4111455</v>
      </c>
      <c r="O100" s="488">
        <v>3970816</v>
      </c>
      <c r="P100" s="486" t="s">
        <v>852</v>
      </c>
      <c r="Q100" s="487">
        <v>7504624</v>
      </c>
      <c r="R100" s="488">
        <v>11599584</v>
      </c>
      <c r="S100" s="502">
        <f t="shared" si="6"/>
        <v>12755487473</v>
      </c>
      <c r="T100" s="503">
        <f t="shared" si="7"/>
        <v>13268508616</v>
      </c>
    </row>
  </sheetData>
  <sheetProtection/>
  <mergeCells count="7">
    <mergeCell ref="P1:R1"/>
    <mergeCell ref="S1:T1"/>
    <mergeCell ref="A1:C1"/>
    <mergeCell ref="D1:F1"/>
    <mergeCell ref="G1:I1"/>
    <mergeCell ref="J1:L1"/>
    <mergeCell ref="M1:O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8" scale="37" r:id="rId1"/>
  <headerFooter alignWithMargins="0">
    <oddHeader>&amp;C&amp;"Times New Roman CE,Félkövér"&amp;12
Nagykáta Város  Önkormányzata
2017. ÉVI ZÁRSZÁMADÁSÁNAK PÉNZÜGYI MÉRLEGE&amp;10
&amp;R&amp;"Times New Roman CE,Félkövér dőlt"&amp;11 1. tájékoztató tábla a 4/2018. (V.30.)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K18"/>
  <sheetViews>
    <sheetView workbookViewId="0" topLeftCell="A1">
      <selection activeCell="K1" sqref="K1:K18"/>
    </sheetView>
  </sheetViews>
  <sheetFormatPr defaultColWidth="9.375" defaultRowHeight="12.75"/>
  <cols>
    <col min="1" max="1" width="6.75390625" style="5" customWidth="1"/>
    <col min="2" max="2" width="32.375" style="4" customWidth="1"/>
    <col min="3" max="3" width="17.00390625" style="4" customWidth="1"/>
    <col min="4" max="9" width="12.75390625" style="4" customWidth="1"/>
    <col min="10" max="10" width="13.75390625" style="4" customWidth="1"/>
    <col min="11" max="11" width="4.00390625" style="4" customWidth="1"/>
    <col min="12" max="16384" width="9.375" style="4" customWidth="1"/>
  </cols>
  <sheetData>
    <row r="1" spans="1:11" ht="18" thickBot="1">
      <c r="A1" s="110"/>
      <c r="B1" s="750" t="s">
        <v>966</v>
      </c>
      <c r="C1" s="111"/>
      <c r="D1" s="111"/>
      <c r="E1" s="111"/>
      <c r="F1" s="111"/>
      <c r="G1" s="111"/>
      <c r="H1" s="111"/>
      <c r="I1" s="111"/>
      <c r="J1" s="112" t="s">
        <v>696</v>
      </c>
      <c r="K1" s="823" t="str">
        <f>+CONCATENATE("2. tájékoztató tábla a 4/",LEFT(ÖSSZEFÜGGÉSEK!A4,4)+1,". (V.30.) önkormányzati rendelethez")</f>
        <v>2. tájékoztató tábla a 4/2018. (V.30.) önkormányzati rendelethez</v>
      </c>
    </row>
    <row r="2" spans="1:11" s="116" customFormat="1" ht="26.25" customHeight="1">
      <c r="A2" s="893" t="s">
        <v>54</v>
      </c>
      <c r="B2" s="895" t="s">
        <v>181</v>
      </c>
      <c r="C2" s="895" t="s">
        <v>182</v>
      </c>
      <c r="D2" s="895" t="s">
        <v>183</v>
      </c>
      <c r="E2" s="895" t="str">
        <f>+CONCATENATE(LEFT(ÖSSZEFÜGGÉSEK!A4,4),". évi teljesítés")</f>
        <v>2017. évi teljesítés</v>
      </c>
      <c r="F2" s="113" t="s">
        <v>184</v>
      </c>
      <c r="G2" s="114"/>
      <c r="H2" s="114"/>
      <c r="I2" s="115"/>
      <c r="J2" s="898" t="s">
        <v>185</v>
      </c>
      <c r="K2" s="823"/>
    </row>
    <row r="3" spans="1:11" s="120" customFormat="1" ht="32.25" customHeight="1" thickBot="1">
      <c r="A3" s="894"/>
      <c r="B3" s="896"/>
      <c r="C3" s="896"/>
      <c r="D3" s="897"/>
      <c r="E3" s="897"/>
      <c r="F3" s="117" t="str">
        <f>+CONCATENATE(LEFT(ÖSSZEFÜGGÉSEK!A4,4)+1,".")</f>
        <v>2018.</v>
      </c>
      <c r="G3" s="118" t="str">
        <f>+CONCATENATE(LEFT(ÖSSZEFÜGGÉSEK!A4,4)+2,".")</f>
        <v>2019.</v>
      </c>
      <c r="H3" s="118" t="str">
        <f>+CONCATENATE(LEFT(ÖSSZEFÜGGÉSEK!A4,4)+3,".")</f>
        <v>2020.</v>
      </c>
      <c r="I3" s="119" t="str">
        <f>+CONCATENATE(LEFT(ÖSSZEFÜGGÉSEK!A4,4)+3,". után")</f>
        <v>2020. után</v>
      </c>
      <c r="J3" s="899"/>
      <c r="K3" s="823"/>
    </row>
    <row r="4" spans="1:11" s="122" customFormat="1" ht="13.5" customHeight="1" thickBot="1">
      <c r="A4" s="407" t="s">
        <v>373</v>
      </c>
      <c r="B4" s="121" t="s">
        <v>531</v>
      </c>
      <c r="C4" s="408" t="s">
        <v>375</v>
      </c>
      <c r="D4" s="408" t="s">
        <v>376</v>
      </c>
      <c r="E4" s="408" t="s">
        <v>377</v>
      </c>
      <c r="F4" s="408" t="s">
        <v>453</v>
      </c>
      <c r="G4" s="408" t="s">
        <v>454</v>
      </c>
      <c r="H4" s="408" t="s">
        <v>455</v>
      </c>
      <c r="I4" s="408" t="s">
        <v>456</v>
      </c>
      <c r="J4" s="409" t="s">
        <v>628</v>
      </c>
      <c r="K4" s="823"/>
    </row>
    <row r="5" spans="1:11" ht="33.75" customHeight="1">
      <c r="A5" s="123" t="s">
        <v>6</v>
      </c>
      <c r="B5" s="124" t="s">
        <v>186</v>
      </c>
      <c r="C5" s="125"/>
      <c r="D5" s="126">
        <f aca="true" t="shared" si="0" ref="D5:I5">SUM(D6:D7)</f>
        <v>0</v>
      </c>
      <c r="E5" s="126">
        <f t="shared" si="0"/>
        <v>0</v>
      </c>
      <c r="F5" s="126">
        <f t="shared" si="0"/>
        <v>0</v>
      </c>
      <c r="G5" s="126">
        <f t="shared" si="0"/>
        <v>0</v>
      </c>
      <c r="H5" s="126">
        <f t="shared" si="0"/>
        <v>0</v>
      </c>
      <c r="I5" s="127">
        <f t="shared" si="0"/>
        <v>0</v>
      </c>
      <c r="J5" s="128">
        <f aca="true" t="shared" si="1" ref="J5:J17">SUM(F5:I5)</f>
        <v>0</v>
      </c>
      <c r="K5" s="823"/>
    </row>
    <row r="6" spans="1:11" ht="12.75">
      <c r="A6" s="129" t="s">
        <v>7</v>
      </c>
      <c r="B6" s="130" t="s">
        <v>187</v>
      </c>
      <c r="C6" s="131"/>
      <c r="D6" s="2"/>
      <c r="E6" s="2"/>
      <c r="F6" s="2"/>
      <c r="G6" s="2"/>
      <c r="H6" s="2"/>
      <c r="I6" s="46"/>
      <c r="J6" s="132">
        <f t="shared" si="1"/>
        <v>0</v>
      </c>
      <c r="K6" s="823"/>
    </row>
    <row r="7" spans="1:11" ht="12.75">
      <c r="A7" s="129" t="s">
        <v>8</v>
      </c>
      <c r="B7" s="130" t="s">
        <v>187</v>
      </c>
      <c r="C7" s="131"/>
      <c r="D7" s="2"/>
      <c r="E7" s="2"/>
      <c r="F7" s="2"/>
      <c r="G7" s="2"/>
      <c r="H7" s="2"/>
      <c r="I7" s="46"/>
      <c r="J7" s="132">
        <f t="shared" si="1"/>
        <v>0</v>
      </c>
      <c r="K7" s="823"/>
    </row>
    <row r="8" spans="1:11" ht="36" customHeight="1">
      <c r="A8" s="129" t="s">
        <v>9</v>
      </c>
      <c r="B8" s="133" t="s">
        <v>188</v>
      </c>
      <c r="C8" s="134"/>
      <c r="D8" s="135">
        <f aca="true" t="shared" si="2" ref="D8:I8">SUM(D9:D10)</f>
        <v>0</v>
      </c>
      <c r="E8" s="135">
        <f t="shared" si="2"/>
        <v>0</v>
      </c>
      <c r="F8" s="135">
        <f t="shared" si="2"/>
        <v>0</v>
      </c>
      <c r="G8" s="135">
        <f t="shared" si="2"/>
        <v>0</v>
      </c>
      <c r="H8" s="135">
        <f t="shared" si="2"/>
        <v>0</v>
      </c>
      <c r="I8" s="136">
        <f t="shared" si="2"/>
        <v>0</v>
      </c>
      <c r="J8" s="137">
        <f t="shared" si="1"/>
        <v>0</v>
      </c>
      <c r="K8" s="823"/>
    </row>
    <row r="9" spans="1:11" ht="12.75">
      <c r="A9" s="129" t="s">
        <v>10</v>
      </c>
      <c r="B9" s="130" t="s">
        <v>187</v>
      </c>
      <c r="C9" s="131"/>
      <c r="D9" s="2"/>
      <c r="E9" s="2"/>
      <c r="F9" s="2"/>
      <c r="G9" s="2"/>
      <c r="H9" s="2"/>
      <c r="I9" s="46"/>
      <c r="J9" s="132">
        <f t="shared" si="1"/>
        <v>0</v>
      </c>
      <c r="K9" s="823"/>
    </row>
    <row r="10" spans="1:11" ht="12.75">
      <c r="A10" s="129" t="s">
        <v>11</v>
      </c>
      <c r="B10" s="130" t="s">
        <v>187</v>
      </c>
      <c r="C10" s="131"/>
      <c r="D10" s="2"/>
      <c r="E10" s="2"/>
      <c r="F10" s="2"/>
      <c r="G10" s="2"/>
      <c r="H10" s="2"/>
      <c r="I10" s="46"/>
      <c r="J10" s="132">
        <f t="shared" si="1"/>
        <v>0</v>
      </c>
      <c r="K10" s="823"/>
    </row>
    <row r="11" spans="1:11" ht="21" customHeight="1">
      <c r="A11" s="129" t="s">
        <v>12</v>
      </c>
      <c r="B11" s="138" t="s">
        <v>189</v>
      </c>
      <c r="C11" s="134"/>
      <c r="D11" s="135">
        <f aca="true" t="shared" si="3" ref="D11:I11">SUM(D12:D12)</f>
        <v>0</v>
      </c>
      <c r="E11" s="135">
        <f t="shared" si="3"/>
        <v>0</v>
      </c>
      <c r="F11" s="135">
        <f t="shared" si="3"/>
        <v>0</v>
      </c>
      <c r="G11" s="135">
        <f t="shared" si="3"/>
        <v>0</v>
      </c>
      <c r="H11" s="135">
        <f t="shared" si="3"/>
        <v>0</v>
      </c>
      <c r="I11" s="136">
        <f t="shared" si="3"/>
        <v>0</v>
      </c>
      <c r="J11" s="137">
        <f t="shared" si="1"/>
        <v>0</v>
      </c>
      <c r="K11" s="823"/>
    </row>
    <row r="12" spans="1:11" ht="21" customHeight="1">
      <c r="A12" s="129" t="s">
        <v>13</v>
      </c>
      <c r="B12" s="130" t="s">
        <v>187</v>
      </c>
      <c r="C12" s="131"/>
      <c r="D12" s="2"/>
      <c r="E12" s="2"/>
      <c r="F12" s="2"/>
      <c r="G12" s="2"/>
      <c r="H12" s="2"/>
      <c r="I12" s="46"/>
      <c r="J12" s="132">
        <f t="shared" si="1"/>
        <v>0</v>
      </c>
      <c r="K12" s="823"/>
    </row>
    <row r="13" spans="1:11" ht="21" customHeight="1">
      <c r="A13" s="129" t="s">
        <v>14</v>
      </c>
      <c r="B13" s="138" t="s">
        <v>190</v>
      </c>
      <c r="C13" s="134"/>
      <c r="D13" s="135">
        <f aca="true" t="shared" si="4" ref="D13:I13">SUM(D14:D14)</f>
        <v>0</v>
      </c>
      <c r="E13" s="135">
        <f t="shared" si="4"/>
        <v>0</v>
      </c>
      <c r="F13" s="135">
        <f t="shared" si="4"/>
        <v>0</v>
      </c>
      <c r="G13" s="135">
        <f t="shared" si="4"/>
        <v>0</v>
      </c>
      <c r="H13" s="135">
        <f t="shared" si="4"/>
        <v>0</v>
      </c>
      <c r="I13" s="136">
        <f t="shared" si="4"/>
        <v>0</v>
      </c>
      <c r="J13" s="137">
        <f t="shared" si="1"/>
        <v>0</v>
      </c>
      <c r="K13" s="823"/>
    </row>
    <row r="14" spans="1:11" ht="21" customHeight="1">
      <c r="A14" s="129" t="s">
        <v>15</v>
      </c>
      <c r="B14" s="130"/>
      <c r="C14" s="131"/>
      <c r="D14" s="2"/>
      <c r="E14" s="2"/>
      <c r="F14" s="2"/>
      <c r="G14" s="2"/>
      <c r="H14" s="2"/>
      <c r="I14" s="46"/>
      <c r="J14" s="132"/>
      <c r="K14" s="823"/>
    </row>
    <row r="15" spans="1:11" ht="21" customHeight="1">
      <c r="A15" s="129" t="s">
        <v>16</v>
      </c>
      <c r="B15" s="133" t="s">
        <v>191</v>
      </c>
      <c r="C15" s="439"/>
      <c r="D15" s="139"/>
      <c r="E15" s="139"/>
      <c r="F15" s="139">
        <f>SUM(F16:F17)</f>
        <v>0</v>
      </c>
      <c r="G15" s="139">
        <f>SUM(G16:G17)</f>
        <v>0</v>
      </c>
      <c r="H15" s="139">
        <f>SUM(H16:H17)</f>
        <v>0</v>
      </c>
      <c r="I15" s="140">
        <f>SUM(I16:I17)</f>
        <v>0</v>
      </c>
      <c r="J15" s="137">
        <f t="shared" si="1"/>
        <v>0</v>
      </c>
      <c r="K15" s="823"/>
    </row>
    <row r="16" spans="1:11" ht="22.5" customHeight="1">
      <c r="A16" s="129" t="s">
        <v>17</v>
      </c>
      <c r="B16" s="130"/>
      <c r="C16" s="440"/>
      <c r="D16" s="2"/>
      <c r="E16" s="2"/>
      <c r="F16" s="2"/>
      <c r="G16" s="2"/>
      <c r="H16" s="2"/>
      <c r="I16" s="46"/>
      <c r="J16" s="132">
        <f t="shared" si="1"/>
        <v>0</v>
      </c>
      <c r="K16" s="823"/>
    </row>
    <row r="17" spans="1:11" ht="21" customHeight="1" thickBot="1">
      <c r="A17" s="442" t="s">
        <v>18</v>
      </c>
      <c r="B17" s="443"/>
      <c r="C17" s="441"/>
      <c r="D17" s="141"/>
      <c r="E17" s="141"/>
      <c r="F17" s="141"/>
      <c r="G17" s="141"/>
      <c r="H17" s="141"/>
      <c r="I17" s="142"/>
      <c r="J17" s="132">
        <f t="shared" si="1"/>
        <v>0</v>
      </c>
      <c r="K17" s="823"/>
    </row>
    <row r="18" spans="1:11" ht="21" customHeight="1" thickBot="1">
      <c r="A18" s="143" t="s">
        <v>19</v>
      </c>
      <c r="B18" s="144" t="s">
        <v>192</v>
      </c>
      <c r="C18" s="145"/>
      <c r="D18" s="146">
        <f aca="true" t="shared" si="5" ref="D18:J18">D5+D8+D11+D13+D15</f>
        <v>0</v>
      </c>
      <c r="E18" s="146">
        <f t="shared" si="5"/>
        <v>0</v>
      </c>
      <c r="F18" s="146">
        <f t="shared" si="5"/>
        <v>0</v>
      </c>
      <c r="G18" s="146">
        <f t="shared" si="5"/>
        <v>0</v>
      </c>
      <c r="H18" s="146">
        <f t="shared" si="5"/>
        <v>0</v>
      </c>
      <c r="I18" s="147">
        <f t="shared" si="5"/>
        <v>0</v>
      </c>
      <c r="J18" s="148">
        <f t="shared" si="5"/>
        <v>0</v>
      </c>
      <c r="K18" s="823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workbookViewId="0" topLeftCell="A1">
      <selection activeCell="G1" sqref="G1:G5"/>
    </sheetView>
  </sheetViews>
  <sheetFormatPr defaultColWidth="9.375" defaultRowHeight="12.75"/>
  <cols>
    <col min="1" max="1" width="6.75390625" style="5" customWidth="1"/>
    <col min="2" max="2" width="55.375" style="4" customWidth="1"/>
    <col min="3" max="3" width="15.125" style="4" customWidth="1"/>
    <col min="4" max="6" width="27.625" style="4" customWidth="1"/>
    <col min="7" max="7" width="5.625" style="4" customWidth="1"/>
    <col min="8" max="16384" width="9.375" style="4" customWidth="1"/>
  </cols>
  <sheetData>
    <row r="1" spans="1:7" s="18" customFormat="1" ht="23.25" customHeight="1">
      <c r="A1" s="5"/>
      <c r="B1" s="4"/>
      <c r="C1" s="4"/>
      <c r="D1" s="4"/>
      <c r="E1" s="4"/>
      <c r="F1" s="4"/>
      <c r="G1" s="902" t="str">
        <f>+CONCATENATE("3. tájékoztató tábla a 4/",LEFT(ÖSSZEFÜGGÉSEK!A4,4)+1,". (V.30.) önkormányzati rendelethez")</f>
        <v>3. tájékoztató tábla a 4/2018. (V.30.) önkormányzati rendelethez</v>
      </c>
    </row>
    <row r="2" spans="1:7" s="116" customFormat="1" ht="26.25" customHeight="1">
      <c r="A2" s="900" t="s">
        <v>865</v>
      </c>
      <c r="B2" s="900"/>
      <c r="C2" s="592" t="s">
        <v>866</v>
      </c>
      <c r="D2" s="592" t="s">
        <v>172</v>
      </c>
      <c r="E2" s="592" t="s">
        <v>172</v>
      </c>
      <c r="F2" s="592" t="s">
        <v>177</v>
      </c>
      <c r="G2" s="902"/>
    </row>
    <row r="3" spans="1:7" s="120" customFormat="1" ht="76.5" customHeight="1">
      <c r="A3" s="901" t="s">
        <v>867</v>
      </c>
      <c r="B3" s="901"/>
      <c r="C3" s="592" t="s">
        <v>868</v>
      </c>
      <c r="D3" s="593">
        <f>D4</f>
        <v>30000000</v>
      </c>
      <c r="E3" s="593">
        <v>30000000</v>
      </c>
      <c r="F3" s="593"/>
      <c r="G3" s="902"/>
    </row>
    <row r="4" spans="1:7" s="149" customFormat="1" ht="57" customHeight="1">
      <c r="A4" s="459"/>
      <c r="B4" s="594" t="s">
        <v>869</v>
      </c>
      <c r="C4" s="459"/>
      <c r="D4" s="595">
        <v>30000000</v>
      </c>
      <c r="E4" s="595">
        <v>30000001</v>
      </c>
      <c r="F4" s="595"/>
      <c r="G4" s="902"/>
    </row>
    <row r="5" spans="1:7" ht="51" customHeight="1">
      <c r="A5" s="900" t="s">
        <v>870</v>
      </c>
      <c r="B5" s="900"/>
      <c r="C5" s="900"/>
      <c r="D5" s="593">
        <f>D3</f>
        <v>30000000</v>
      </c>
      <c r="E5" s="593">
        <f>E3</f>
        <v>30000000</v>
      </c>
      <c r="F5" s="593">
        <f>F3</f>
        <v>0</v>
      </c>
      <c r="G5" s="902"/>
    </row>
    <row r="6" ht="22.5" customHeight="1">
      <c r="G6" s="596"/>
    </row>
    <row r="7" ht="22.5" customHeight="1">
      <c r="G7" s="596"/>
    </row>
    <row r="8" ht="22.5" customHeight="1">
      <c r="G8" s="596"/>
    </row>
    <row r="9" ht="22.5" customHeight="1">
      <c r="G9" s="596"/>
    </row>
    <row r="10" ht="30" customHeight="1">
      <c r="G10" s="596"/>
    </row>
    <row r="11" ht="29.25" customHeight="1">
      <c r="G11" s="596"/>
    </row>
    <row r="12" ht="22.5" customHeight="1">
      <c r="G12" s="596"/>
    </row>
    <row r="13" ht="22.5" customHeight="1">
      <c r="G13" s="596"/>
    </row>
    <row r="14" ht="22.5" customHeight="1">
      <c r="G14" s="596"/>
    </row>
    <row r="15" ht="22.5" customHeight="1">
      <c r="G15" s="596"/>
    </row>
    <row r="16" ht="22.5" customHeight="1">
      <c r="G16" s="596"/>
    </row>
    <row r="17" ht="19.5" customHeight="1"/>
  </sheetData>
  <sheetProtection/>
  <mergeCells count="4">
    <mergeCell ref="A2:B2"/>
    <mergeCell ref="A3:B3"/>
    <mergeCell ref="A5:C5"/>
    <mergeCell ref="G1:G5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86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2"/>
  <sheetViews>
    <sheetView view="pageBreakPreview" zoomScale="115" zoomScaleNormal="130" zoomScaleSheetLayoutView="115" workbookViewId="0" topLeftCell="A1">
      <selection activeCell="A86" sqref="A86:E86"/>
    </sheetView>
  </sheetViews>
  <sheetFormatPr defaultColWidth="9.375" defaultRowHeight="12.75"/>
  <cols>
    <col min="1" max="1" width="9.50390625" style="235" customWidth="1"/>
    <col min="2" max="2" width="79.375" style="235" customWidth="1"/>
    <col min="3" max="5" width="20.75390625" style="236" customWidth="1"/>
    <col min="6" max="6" width="19.00390625" style="245" customWidth="1"/>
    <col min="7" max="7" width="16.625" style="245" customWidth="1"/>
    <col min="8" max="8" width="11.625" style="245" customWidth="1"/>
    <col min="9" max="16384" width="9.375" style="245" customWidth="1"/>
  </cols>
  <sheetData>
    <row r="1" spans="1:8" ht="15.75" customHeight="1">
      <c r="A1" s="805" t="s">
        <v>3</v>
      </c>
      <c r="B1" s="805"/>
      <c r="C1" s="805"/>
      <c r="D1" s="805"/>
      <c r="E1" s="805"/>
      <c r="F1" s="805"/>
      <c r="G1" s="805"/>
      <c r="H1" s="805"/>
    </row>
    <row r="2" spans="1:8" ht="15.75" customHeight="1" thickBot="1">
      <c r="A2" s="44" t="s">
        <v>105</v>
      </c>
      <c r="B2" s="44"/>
      <c r="C2" s="763"/>
      <c r="D2" s="763"/>
      <c r="E2" s="763"/>
      <c r="F2" s="763"/>
      <c r="G2" s="763"/>
      <c r="H2" s="763" t="s">
        <v>860</v>
      </c>
    </row>
    <row r="3" spans="1:8" ht="15.75" customHeight="1" thickBot="1">
      <c r="A3" s="810" t="s">
        <v>54</v>
      </c>
      <c r="B3" s="812" t="s">
        <v>5</v>
      </c>
      <c r="C3" s="806" t="str">
        <f>+CONCATENATE(LEFT(ÖSSZEFÜGGÉSEK!A4,4),". évi")</f>
        <v>2017. évi</v>
      </c>
      <c r="D3" s="807"/>
      <c r="E3" s="807"/>
      <c r="F3" s="807"/>
      <c r="G3" s="807"/>
      <c r="H3" s="808"/>
    </row>
    <row r="4" spans="1:8" ht="37.5" customHeight="1" thickBot="1">
      <c r="A4" s="811"/>
      <c r="B4" s="813"/>
      <c r="C4" s="764" t="s">
        <v>172</v>
      </c>
      <c r="D4" s="764" t="s">
        <v>176</v>
      </c>
      <c r="E4" s="765" t="s">
        <v>177</v>
      </c>
      <c r="F4" s="337" t="s">
        <v>972</v>
      </c>
      <c r="G4" s="337" t="s">
        <v>973</v>
      </c>
      <c r="H4" s="337" t="s">
        <v>974</v>
      </c>
    </row>
    <row r="5" spans="1:8" s="246" customFormat="1" ht="12" customHeight="1" thickBot="1">
      <c r="A5" s="515" t="s">
        <v>373</v>
      </c>
      <c r="B5" s="516" t="s">
        <v>374</v>
      </c>
      <c r="C5" s="516" t="s">
        <v>375</v>
      </c>
      <c r="D5" s="516" t="s">
        <v>376</v>
      </c>
      <c r="E5" s="517" t="s">
        <v>377</v>
      </c>
      <c r="F5" s="103" t="s">
        <v>453</v>
      </c>
      <c r="G5" s="103" t="s">
        <v>454</v>
      </c>
      <c r="H5" s="103" t="s">
        <v>455</v>
      </c>
    </row>
    <row r="6" spans="1:8" s="247" customFormat="1" ht="12" customHeight="1" thickBot="1">
      <c r="A6" s="518" t="s">
        <v>6</v>
      </c>
      <c r="B6" s="519" t="s">
        <v>263</v>
      </c>
      <c r="C6" s="520">
        <f aca="true" t="shared" si="0" ref="C6:H6">SUM(C7:C12)</f>
        <v>829813489</v>
      </c>
      <c r="D6" s="520">
        <f t="shared" si="0"/>
        <v>800021423</v>
      </c>
      <c r="E6" s="521">
        <f t="shared" si="0"/>
        <v>800021423</v>
      </c>
      <c r="F6" s="521">
        <f t="shared" si="0"/>
        <v>800021423</v>
      </c>
      <c r="G6" s="521">
        <f t="shared" si="0"/>
        <v>0</v>
      </c>
      <c r="H6" s="521">
        <f t="shared" si="0"/>
        <v>0</v>
      </c>
    </row>
    <row r="7" spans="1:8" s="247" customFormat="1" ht="13.5" customHeight="1">
      <c r="A7" s="522" t="s">
        <v>66</v>
      </c>
      <c r="B7" s="523" t="s">
        <v>264</v>
      </c>
      <c r="C7" s="524">
        <f>'6..sz. mell önkormányzat'!C9</f>
        <v>223762367</v>
      </c>
      <c r="D7" s="524">
        <v>224474123</v>
      </c>
      <c r="E7" s="525">
        <v>224474123</v>
      </c>
      <c r="F7" s="525">
        <v>224474123</v>
      </c>
      <c r="G7" s="525"/>
      <c r="H7" s="525"/>
    </row>
    <row r="8" spans="1:8" s="247" customFormat="1" ht="13.5" customHeight="1">
      <c r="A8" s="526" t="s">
        <v>67</v>
      </c>
      <c r="B8" s="527" t="s">
        <v>265</v>
      </c>
      <c r="C8" s="528">
        <v>257771400</v>
      </c>
      <c r="D8" s="528">
        <v>269743665</v>
      </c>
      <c r="E8" s="529">
        <v>269743665</v>
      </c>
      <c r="F8" s="529">
        <v>269743665</v>
      </c>
      <c r="G8" s="529"/>
      <c r="H8" s="529"/>
    </row>
    <row r="9" spans="1:8" s="247" customFormat="1" ht="13.5" customHeight="1">
      <c r="A9" s="526" t="s">
        <v>68</v>
      </c>
      <c r="B9" s="527" t="s">
        <v>266</v>
      </c>
      <c r="C9" s="528">
        <v>225734725</v>
      </c>
      <c r="D9" s="528">
        <v>265850922</v>
      </c>
      <c r="E9" s="529">
        <v>265850922</v>
      </c>
      <c r="F9" s="529">
        <v>265850922</v>
      </c>
      <c r="G9" s="529"/>
      <c r="H9" s="529"/>
    </row>
    <row r="10" spans="1:8" s="247" customFormat="1" ht="13.5" customHeight="1">
      <c r="A10" s="526" t="s">
        <v>69</v>
      </c>
      <c r="B10" s="527" t="s">
        <v>267</v>
      </c>
      <c r="C10" s="528">
        <v>14452920</v>
      </c>
      <c r="D10" s="528">
        <v>17853151</v>
      </c>
      <c r="E10" s="529">
        <v>17853151</v>
      </c>
      <c r="F10" s="529">
        <v>17853151</v>
      </c>
      <c r="G10" s="529"/>
      <c r="H10" s="529"/>
    </row>
    <row r="11" spans="1:8" s="247" customFormat="1" ht="13.5" customHeight="1">
      <c r="A11" s="526" t="s">
        <v>101</v>
      </c>
      <c r="B11" s="527" t="s">
        <v>268</v>
      </c>
      <c r="C11" s="528">
        <v>108092077</v>
      </c>
      <c r="D11" s="528">
        <v>22099562</v>
      </c>
      <c r="E11" s="529">
        <v>22099562</v>
      </c>
      <c r="F11" s="529">
        <v>22099562</v>
      </c>
      <c r="G11" s="529"/>
      <c r="H11" s="529"/>
    </row>
    <row r="12" spans="1:8" s="247" customFormat="1" ht="17.25" customHeight="1" thickBot="1">
      <c r="A12" s="530" t="s">
        <v>70</v>
      </c>
      <c r="B12" s="531" t="s">
        <v>269</v>
      </c>
      <c r="C12" s="532"/>
      <c r="D12" s="532"/>
      <c r="E12" s="533"/>
      <c r="F12" s="533"/>
      <c r="G12" s="533"/>
      <c r="H12" s="533"/>
    </row>
    <row r="13" spans="1:8" s="247" customFormat="1" ht="33" customHeight="1" thickBot="1">
      <c r="A13" s="518" t="s">
        <v>7</v>
      </c>
      <c r="B13" s="534" t="s">
        <v>270</v>
      </c>
      <c r="C13" s="520">
        <f aca="true" t="shared" si="1" ref="C13:H13">SUM(C14:C18)</f>
        <v>126821000</v>
      </c>
      <c r="D13" s="520">
        <f t="shared" si="1"/>
        <v>142575104</v>
      </c>
      <c r="E13" s="521">
        <f t="shared" si="1"/>
        <v>139220681</v>
      </c>
      <c r="F13" s="521">
        <f t="shared" si="1"/>
        <v>137220681</v>
      </c>
      <c r="G13" s="521">
        <f t="shared" si="1"/>
        <v>2000000</v>
      </c>
      <c r="H13" s="521">
        <f t="shared" si="1"/>
        <v>0</v>
      </c>
    </row>
    <row r="14" spans="1:8" s="247" customFormat="1" ht="13.5" customHeight="1">
      <c r="A14" s="522" t="s">
        <v>72</v>
      </c>
      <c r="B14" s="523" t="s">
        <v>271</v>
      </c>
      <c r="C14" s="524"/>
      <c r="D14" s="524">
        <v>240300</v>
      </c>
      <c r="E14" s="525">
        <v>240300</v>
      </c>
      <c r="F14" s="525">
        <v>240300</v>
      </c>
      <c r="G14" s="525"/>
      <c r="H14" s="525"/>
    </row>
    <row r="15" spans="1:8" s="247" customFormat="1" ht="13.5" customHeight="1">
      <c r="A15" s="526" t="s">
        <v>73</v>
      </c>
      <c r="B15" s="527" t="s">
        <v>272</v>
      </c>
      <c r="C15" s="528"/>
      <c r="D15" s="528"/>
      <c r="E15" s="529"/>
      <c r="F15" s="529"/>
      <c r="G15" s="529"/>
      <c r="H15" s="529"/>
    </row>
    <row r="16" spans="1:8" s="247" customFormat="1" ht="13.5" customHeight="1">
      <c r="A16" s="526" t="s">
        <v>74</v>
      </c>
      <c r="B16" s="527" t="s">
        <v>273</v>
      </c>
      <c r="C16" s="528"/>
      <c r="D16" s="528"/>
      <c r="E16" s="529"/>
      <c r="F16" s="529"/>
      <c r="G16" s="529"/>
      <c r="H16" s="529"/>
    </row>
    <row r="17" spans="1:8" s="247" customFormat="1" ht="13.5" customHeight="1">
      <c r="A17" s="526" t="s">
        <v>75</v>
      </c>
      <c r="B17" s="527" t="s">
        <v>274</v>
      </c>
      <c r="C17" s="528"/>
      <c r="D17" s="528"/>
      <c r="E17" s="529"/>
      <c r="F17" s="529"/>
      <c r="G17" s="529"/>
      <c r="H17" s="529"/>
    </row>
    <row r="18" spans="1:8" s="247" customFormat="1" ht="13.5" customHeight="1">
      <c r="A18" s="526" t="s">
        <v>76</v>
      </c>
      <c r="B18" s="527" t="s">
        <v>275</v>
      </c>
      <c r="C18" s="528">
        <f>6526000+114970000+5325000</f>
        <v>126821000</v>
      </c>
      <c r="D18" s="528">
        <f>8418000+6526000+4586980+122803824</f>
        <v>142334804</v>
      </c>
      <c r="E18" s="529">
        <f>16702149+2500000+116464727+3313505</f>
        <v>138980381</v>
      </c>
      <c r="F18" s="529">
        <f>E18-G18</f>
        <v>136980381</v>
      </c>
      <c r="G18" s="529">
        <v>2000000</v>
      </c>
      <c r="H18" s="529"/>
    </row>
    <row r="19" spans="1:8" s="247" customFormat="1" ht="13.5" customHeight="1" thickBot="1">
      <c r="A19" s="530" t="s">
        <v>83</v>
      </c>
      <c r="B19" s="531" t="s">
        <v>276</v>
      </c>
      <c r="C19" s="532"/>
      <c r="D19" s="532"/>
      <c r="E19" s="533"/>
      <c r="F19" s="533"/>
      <c r="G19" s="533"/>
      <c r="H19" s="533"/>
    </row>
    <row r="20" spans="1:8" s="247" customFormat="1" ht="32.25" customHeight="1" thickBot="1">
      <c r="A20" s="518" t="s">
        <v>8</v>
      </c>
      <c r="B20" s="519" t="s">
        <v>277</v>
      </c>
      <c r="C20" s="520">
        <f>SUM(C21:C25)</f>
        <v>637157762</v>
      </c>
      <c r="D20" s="520">
        <f>SUM(D21:D25)</f>
        <v>1127175458</v>
      </c>
      <c r="E20" s="521">
        <f>SUM(E21:E25)</f>
        <v>1104479138</v>
      </c>
      <c r="F20" s="521">
        <f>SUM(F21:F25)</f>
        <v>1104479138</v>
      </c>
      <c r="G20" s="521"/>
      <c r="H20" s="521"/>
    </row>
    <row r="21" spans="1:8" s="247" customFormat="1" ht="13.5" customHeight="1">
      <c r="A21" s="522" t="s">
        <v>55</v>
      </c>
      <c r="B21" s="523" t="s">
        <v>278</v>
      </c>
      <c r="C21" s="524">
        <v>400000000</v>
      </c>
      <c r="D21" s="524">
        <v>425499529</v>
      </c>
      <c r="E21" s="525">
        <v>425499529</v>
      </c>
      <c r="F21" s="525">
        <v>425499529</v>
      </c>
      <c r="G21" s="525"/>
      <c r="H21" s="525"/>
    </row>
    <row r="22" spans="1:8" s="247" customFormat="1" ht="13.5" customHeight="1">
      <c r="A22" s="526" t="s">
        <v>56</v>
      </c>
      <c r="B22" s="527" t="s">
        <v>279</v>
      </c>
      <c r="C22" s="528"/>
      <c r="D22" s="528"/>
      <c r="E22" s="529"/>
      <c r="F22" s="529"/>
      <c r="G22" s="529"/>
      <c r="H22" s="529"/>
    </row>
    <row r="23" spans="1:8" s="247" customFormat="1" ht="13.5" customHeight="1">
      <c r="A23" s="526" t="s">
        <v>57</v>
      </c>
      <c r="B23" s="527" t="s">
        <v>280</v>
      </c>
      <c r="C23" s="528"/>
      <c r="D23" s="528"/>
      <c r="E23" s="529"/>
      <c r="F23" s="529"/>
      <c r="G23" s="529"/>
      <c r="H23" s="529"/>
    </row>
    <row r="24" spans="1:8" s="247" customFormat="1" ht="13.5" customHeight="1">
      <c r="A24" s="526" t="s">
        <v>58</v>
      </c>
      <c r="B24" s="527" t="s">
        <v>281</v>
      </c>
      <c r="C24" s="528"/>
      <c r="D24" s="528"/>
      <c r="E24" s="529"/>
      <c r="F24" s="529"/>
      <c r="G24" s="529"/>
      <c r="H24" s="529"/>
    </row>
    <row r="25" spans="1:8" s="247" customFormat="1" ht="13.5" customHeight="1">
      <c r="A25" s="526" t="s">
        <v>115</v>
      </c>
      <c r="B25" s="527" t="s">
        <v>282</v>
      </c>
      <c r="C25" s="528">
        <v>237157762</v>
      </c>
      <c r="D25" s="528">
        <v>701675929</v>
      </c>
      <c r="E25" s="529">
        <v>678979609</v>
      </c>
      <c r="F25" s="529">
        <v>678979609</v>
      </c>
      <c r="G25" s="529"/>
      <c r="H25" s="529"/>
    </row>
    <row r="26" spans="1:8" s="247" customFormat="1" ht="13.5" customHeight="1" thickBot="1">
      <c r="A26" s="530" t="s">
        <v>116</v>
      </c>
      <c r="B26" s="535" t="s">
        <v>283</v>
      </c>
      <c r="C26" s="532"/>
      <c r="D26" s="532"/>
      <c r="E26" s="533"/>
      <c r="F26" s="533"/>
      <c r="G26" s="533"/>
      <c r="H26" s="533"/>
    </row>
    <row r="27" spans="1:8" s="247" customFormat="1" ht="12" customHeight="1" thickBot="1">
      <c r="A27" s="518" t="s">
        <v>117</v>
      </c>
      <c r="B27" s="519" t="s">
        <v>284</v>
      </c>
      <c r="C27" s="536">
        <f aca="true" t="shared" si="2" ref="C27:H27">SUM(C28:C31)</f>
        <v>418000000</v>
      </c>
      <c r="D27" s="536">
        <f t="shared" si="2"/>
        <v>418000000</v>
      </c>
      <c r="E27" s="536">
        <f t="shared" si="2"/>
        <v>375190472</v>
      </c>
      <c r="F27" s="536">
        <f t="shared" si="2"/>
        <v>375190472</v>
      </c>
      <c r="G27" s="536">
        <f t="shared" si="2"/>
        <v>0</v>
      </c>
      <c r="H27" s="536">
        <f t="shared" si="2"/>
        <v>0</v>
      </c>
    </row>
    <row r="28" spans="1:8" s="247" customFormat="1" ht="13.5" customHeight="1">
      <c r="A28" s="522" t="s">
        <v>285</v>
      </c>
      <c r="B28" s="523" t="s">
        <v>286</v>
      </c>
      <c r="C28" s="537"/>
      <c r="D28" s="537"/>
      <c r="E28" s="538"/>
      <c r="F28" s="538"/>
      <c r="G28" s="538"/>
      <c r="H28" s="538"/>
    </row>
    <row r="29" spans="1:8" s="247" customFormat="1" ht="13.5" customHeight="1">
      <c r="A29" s="526" t="s">
        <v>287</v>
      </c>
      <c r="B29" s="527" t="s">
        <v>682</v>
      </c>
      <c r="C29" s="528">
        <v>52000000</v>
      </c>
      <c r="D29" s="528">
        <v>52000000</v>
      </c>
      <c r="E29" s="529">
        <v>49550885</v>
      </c>
      <c r="F29" s="529">
        <v>49550885</v>
      </c>
      <c r="G29" s="529"/>
      <c r="H29" s="529"/>
    </row>
    <row r="30" spans="1:8" s="247" customFormat="1" ht="13.5" customHeight="1">
      <c r="A30" s="526" t="s">
        <v>288</v>
      </c>
      <c r="B30" s="527" t="s">
        <v>683</v>
      </c>
      <c r="C30" s="528">
        <v>361000000</v>
      </c>
      <c r="D30" s="528">
        <v>361000000</v>
      </c>
      <c r="E30" s="529">
        <v>321455911</v>
      </c>
      <c r="F30" s="529">
        <v>321455911</v>
      </c>
      <c r="G30" s="529"/>
      <c r="H30" s="529"/>
    </row>
    <row r="31" spans="1:8" s="247" customFormat="1" ht="13.5" customHeight="1" thickBot="1">
      <c r="A31" s="530" t="s">
        <v>289</v>
      </c>
      <c r="B31" s="535" t="s">
        <v>290</v>
      </c>
      <c r="C31" s="532">
        <v>5000000</v>
      </c>
      <c r="D31" s="532">
        <v>5000000</v>
      </c>
      <c r="E31" s="533">
        <v>4183676</v>
      </c>
      <c r="F31" s="533">
        <v>4183676</v>
      </c>
      <c r="G31" s="533"/>
      <c r="H31" s="533"/>
    </row>
    <row r="32" spans="1:8" s="247" customFormat="1" ht="12" customHeight="1" thickBot="1">
      <c r="A32" s="518" t="s">
        <v>10</v>
      </c>
      <c r="B32" s="519" t="s">
        <v>291</v>
      </c>
      <c r="C32" s="520">
        <f>SUM(C33:C42)</f>
        <v>209466860</v>
      </c>
      <c r="D32" s="520">
        <f>SUM(D33:D42)</f>
        <v>260470537</v>
      </c>
      <c r="E32" s="521">
        <f>SUM(E33:E42)</f>
        <v>227557048</v>
      </c>
      <c r="F32" s="521">
        <f>SUM(F33:F42)</f>
        <v>227176048</v>
      </c>
      <c r="G32" s="521">
        <f>SUM(G33:G42)</f>
        <v>381000</v>
      </c>
      <c r="H32" s="521"/>
    </row>
    <row r="33" spans="1:8" s="247" customFormat="1" ht="13.5" customHeight="1">
      <c r="A33" s="522" t="s">
        <v>59</v>
      </c>
      <c r="B33" s="523" t="s">
        <v>292</v>
      </c>
      <c r="C33" s="524">
        <v>2600000</v>
      </c>
      <c r="D33" s="524">
        <v>1168880</v>
      </c>
      <c r="E33" s="525">
        <f>1168880+598285</f>
        <v>1767165</v>
      </c>
      <c r="F33" s="525">
        <f>1168880+598285</f>
        <v>1767165</v>
      </c>
      <c r="G33" s="525"/>
      <c r="H33" s="525"/>
    </row>
    <row r="34" spans="1:8" s="247" customFormat="1" ht="13.5" customHeight="1">
      <c r="A34" s="526" t="s">
        <v>60</v>
      </c>
      <c r="B34" s="527" t="s">
        <v>293</v>
      </c>
      <c r="C34" s="528">
        <f>51498000+500000+55900000+13786000+85000</f>
        <v>121769000</v>
      </c>
      <c r="D34" s="528">
        <f>71774025+500000+52532632+14903255+80000</f>
        <v>139789912</v>
      </c>
      <c r="E34" s="529">
        <f>600000+50941205+14583255+53334+71774025</f>
        <v>137951819</v>
      </c>
      <c r="F34" s="529">
        <f>600000+50941205+14583255+53334+71774025</f>
        <v>137951819</v>
      </c>
      <c r="G34" s="529"/>
      <c r="H34" s="529"/>
    </row>
    <row r="35" spans="1:8" s="247" customFormat="1" ht="13.5" customHeight="1">
      <c r="A35" s="526" t="s">
        <v>61</v>
      </c>
      <c r="B35" s="527" t="s">
        <v>294</v>
      </c>
      <c r="C35" s="528">
        <f>10040000+1700000+10570000</f>
        <v>22310000</v>
      </c>
      <c r="D35" s="528">
        <f>10040000+1700000+23743136</f>
        <v>35483136</v>
      </c>
      <c r="E35" s="529">
        <f>11016826+988404+19428654</f>
        <v>31433884</v>
      </c>
      <c r="F35" s="529">
        <f>11016826+988404+19428654</f>
        <v>31433884</v>
      </c>
      <c r="G35" s="529"/>
      <c r="H35" s="529"/>
    </row>
    <row r="36" spans="1:8" s="247" customFormat="1" ht="13.5" customHeight="1">
      <c r="A36" s="526" t="s">
        <v>119</v>
      </c>
      <c r="B36" s="527" t="s">
        <v>295</v>
      </c>
      <c r="C36" s="528">
        <v>30000000</v>
      </c>
      <c r="D36" s="528">
        <v>30000000</v>
      </c>
      <c r="E36" s="529"/>
      <c r="F36" s="529"/>
      <c r="G36" s="529"/>
      <c r="H36" s="529"/>
    </row>
    <row r="37" spans="1:8" s="247" customFormat="1" ht="13.5" customHeight="1">
      <c r="A37" s="526" t="s">
        <v>120</v>
      </c>
      <c r="B37" s="527" t="s">
        <v>296</v>
      </c>
      <c r="C37" s="528">
        <v>4195000</v>
      </c>
      <c r="D37" s="528"/>
      <c r="E37" s="529"/>
      <c r="F37" s="529"/>
      <c r="G37" s="529"/>
      <c r="H37" s="529"/>
    </row>
    <row r="38" spans="1:8" s="247" customFormat="1" ht="13.5" customHeight="1">
      <c r="A38" s="526" t="s">
        <v>121</v>
      </c>
      <c r="B38" s="527" t="s">
        <v>297</v>
      </c>
      <c r="C38" s="528">
        <f>6565860+594000+20260000+400000+23000</f>
        <v>27842860</v>
      </c>
      <c r="D38" s="528">
        <f>33319316+594000+19016287+266945+23000</f>
        <v>53219548</v>
      </c>
      <c r="E38" s="529">
        <f>33319316+583102+18112351+266945+14400</f>
        <v>52296114</v>
      </c>
      <c r="F38" s="529">
        <f>E38-G38</f>
        <v>52215114</v>
      </c>
      <c r="G38" s="529">
        <v>81000</v>
      </c>
      <c r="H38" s="529"/>
    </row>
    <row r="39" spans="1:8" s="247" customFormat="1" ht="13.5" customHeight="1">
      <c r="A39" s="526" t="s">
        <v>122</v>
      </c>
      <c r="B39" s="527" t="s">
        <v>298</v>
      </c>
      <c r="C39" s="528"/>
      <c r="D39" s="528"/>
      <c r="E39" s="529"/>
      <c r="F39" s="529">
        <f>E39-G39</f>
        <v>0</v>
      </c>
      <c r="G39" s="529"/>
      <c r="H39" s="529"/>
    </row>
    <row r="40" spans="1:8" s="247" customFormat="1" ht="13.5" customHeight="1">
      <c r="A40" s="526" t="s">
        <v>123</v>
      </c>
      <c r="B40" s="527" t="s">
        <v>299</v>
      </c>
      <c r="C40" s="528">
        <f>700000+5000+30000+8000</f>
        <v>743000</v>
      </c>
      <c r="D40" s="528">
        <f>700000+5000+233+820+100</f>
        <v>706153</v>
      </c>
      <c r="E40" s="529">
        <f>4992+88+57+233+64+1+5166</f>
        <v>10601</v>
      </c>
      <c r="F40" s="529">
        <f>E40-G40</f>
        <v>10601</v>
      </c>
      <c r="G40" s="529"/>
      <c r="H40" s="529"/>
    </row>
    <row r="41" spans="1:8" s="247" customFormat="1" ht="13.5" customHeight="1">
      <c r="A41" s="526" t="s">
        <v>300</v>
      </c>
      <c r="B41" s="527" t="s">
        <v>301</v>
      </c>
      <c r="C41" s="539"/>
      <c r="D41" s="539"/>
      <c r="E41" s="540">
        <v>695</v>
      </c>
      <c r="F41" s="529">
        <f>E41-G41</f>
        <v>695</v>
      </c>
      <c r="G41" s="540"/>
      <c r="H41" s="540"/>
    </row>
    <row r="42" spans="1:8" s="247" customFormat="1" ht="13.5" customHeight="1" thickBot="1">
      <c r="A42" s="530" t="s">
        <v>302</v>
      </c>
      <c r="B42" s="531" t="s">
        <v>303</v>
      </c>
      <c r="C42" s="541">
        <f>5000+2000</f>
        <v>7000</v>
      </c>
      <c r="D42" s="541">
        <f>5000+82414+6000+6900+2594</f>
        <v>102908</v>
      </c>
      <c r="E42" s="542">
        <f>3061607+780313+165782+82414+4367+2287</f>
        <v>4096770</v>
      </c>
      <c r="F42" s="529">
        <f>E42-G42</f>
        <v>3796770</v>
      </c>
      <c r="G42" s="542">
        <v>300000</v>
      </c>
      <c r="H42" s="542"/>
    </row>
    <row r="43" spans="1:8" s="247" customFormat="1" ht="12" customHeight="1" thickBot="1">
      <c r="A43" s="518" t="s">
        <v>11</v>
      </c>
      <c r="B43" s="519" t="s">
        <v>304</v>
      </c>
      <c r="C43" s="520">
        <f>SUM(C44:C48)</f>
        <v>0</v>
      </c>
      <c r="D43" s="520">
        <f>SUM(D44:D48)</f>
        <v>60513749</v>
      </c>
      <c r="E43" s="521">
        <f>SUM(E44:E48)</f>
        <v>60226553</v>
      </c>
      <c r="F43" s="521">
        <f>SUM(F44:F48)</f>
        <v>60226554</v>
      </c>
      <c r="G43" s="521">
        <f>SUM(G44:G48)</f>
        <v>0</v>
      </c>
      <c r="H43" s="521"/>
    </row>
    <row r="44" spans="1:8" s="247" customFormat="1" ht="13.5" customHeight="1">
      <c r="A44" s="522" t="s">
        <v>62</v>
      </c>
      <c r="B44" s="523" t="s">
        <v>305</v>
      </c>
      <c r="C44" s="543"/>
      <c r="D44" s="543"/>
      <c r="E44" s="544"/>
      <c r="F44" s="544"/>
      <c r="G44" s="544"/>
      <c r="H44" s="544"/>
    </row>
    <row r="45" spans="1:8" s="247" customFormat="1" ht="13.5" customHeight="1">
      <c r="A45" s="526" t="s">
        <v>63</v>
      </c>
      <c r="B45" s="527" t="s">
        <v>306</v>
      </c>
      <c r="C45" s="539"/>
      <c r="D45" s="539">
        <v>60513749</v>
      </c>
      <c r="E45" s="540">
        <v>60226553</v>
      </c>
      <c r="F45" s="540">
        <v>60226554</v>
      </c>
      <c r="G45" s="540"/>
      <c r="H45" s="540"/>
    </row>
    <row r="46" spans="1:8" s="247" customFormat="1" ht="13.5" customHeight="1">
      <c r="A46" s="526" t="s">
        <v>307</v>
      </c>
      <c r="B46" s="527" t="s">
        <v>308</v>
      </c>
      <c r="C46" s="539"/>
      <c r="D46" s="539"/>
      <c r="E46" s="540"/>
      <c r="F46" s="540"/>
      <c r="G46" s="540"/>
      <c r="H46" s="540"/>
    </row>
    <row r="47" spans="1:8" s="247" customFormat="1" ht="13.5" customHeight="1">
      <c r="A47" s="526" t="s">
        <v>309</v>
      </c>
      <c r="B47" s="527" t="s">
        <v>310</v>
      </c>
      <c r="C47" s="539"/>
      <c r="D47" s="539"/>
      <c r="E47" s="540"/>
      <c r="F47" s="540"/>
      <c r="G47" s="540"/>
      <c r="H47" s="540"/>
    </row>
    <row r="48" spans="1:8" s="247" customFormat="1" ht="13.5" customHeight="1" thickBot="1">
      <c r="A48" s="530" t="s">
        <v>311</v>
      </c>
      <c r="B48" s="531" t="s">
        <v>312</v>
      </c>
      <c r="C48" s="541"/>
      <c r="D48" s="541"/>
      <c r="E48" s="542"/>
      <c r="F48" s="542"/>
      <c r="G48" s="542"/>
      <c r="H48" s="542"/>
    </row>
    <row r="49" spans="1:8" s="247" customFormat="1" ht="17.25" customHeight="1" thickBot="1">
      <c r="A49" s="518" t="s">
        <v>124</v>
      </c>
      <c r="B49" s="519" t="s">
        <v>313</v>
      </c>
      <c r="C49" s="520">
        <f>SUM(C50:C52)</f>
        <v>0</v>
      </c>
      <c r="D49" s="520">
        <f>SUM(D50:D52)</f>
        <v>200000</v>
      </c>
      <c r="E49" s="521">
        <f>SUM(E50:E52)</f>
        <v>1804500</v>
      </c>
      <c r="F49" s="521">
        <f>SUM(F50:F52)</f>
        <v>1804500</v>
      </c>
      <c r="G49" s="521">
        <f>SUM(G50:G52)</f>
        <v>1600000</v>
      </c>
      <c r="H49" s="521"/>
    </row>
    <row r="50" spans="1:8" s="247" customFormat="1" ht="13.5" customHeight="1">
      <c r="A50" s="522" t="s">
        <v>64</v>
      </c>
      <c r="B50" s="523" t="s">
        <v>314</v>
      </c>
      <c r="C50" s="524"/>
      <c r="D50" s="524"/>
      <c r="E50" s="525"/>
      <c r="F50" s="525"/>
      <c r="G50" s="525"/>
      <c r="H50" s="525"/>
    </row>
    <row r="51" spans="1:8" s="247" customFormat="1" ht="13.5" customHeight="1">
      <c r="A51" s="526" t="s">
        <v>65</v>
      </c>
      <c r="B51" s="527" t="s">
        <v>315</v>
      </c>
      <c r="C51" s="528"/>
      <c r="D51" s="528"/>
      <c r="E51" s="529">
        <v>4500</v>
      </c>
      <c r="F51" s="529">
        <v>4500</v>
      </c>
      <c r="G51" s="529"/>
      <c r="H51" s="529"/>
    </row>
    <row r="52" spans="1:8" s="247" customFormat="1" ht="13.5" customHeight="1">
      <c r="A52" s="526" t="s">
        <v>316</v>
      </c>
      <c r="B52" s="527" t="s">
        <v>317</v>
      </c>
      <c r="C52" s="528"/>
      <c r="D52" s="528">
        <v>200000</v>
      </c>
      <c r="E52" s="529">
        <v>1800000</v>
      </c>
      <c r="F52" s="529">
        <v>1800000</v>
      </c>
      <c r="G52" s="529">
        <v>1600000</v>
      </c>
      <c r="H52" s="529"/>
    </row>
    <row r="53" spans="1:8" s="247" customFormat="1" ht="13.5" customHeight="1" thickBot="1">
      <c r="A53" s="530" t="s">
        <v>318</v>
      </c>
      <c r="B53" s="531" t="s">
        <v>319</v>
      </c>
      <c r="C53" s="532"/>
      <c r="D53" s="532"/>
      <c r="E53" s="533"/>
      <c r="F53" s="533"/>
      <c r="G53" s="533"/>
      <c r="H53" s="533"/>
    </row>
    <row r="54" spans="1:8" s="247" customFormat="1" ht="12" customHeight="1" thickBot="1">
      <c r="A54" s="518" t="s">
        <v>13</v>
      </c>
      <c r="B54" s="534" t="s">
        <v>320</v>
      </c>
      <c r="C54" s="520">
        <f>SUM(C55:C57)</f>
        <v>36625000</v>
      </c>
      <c r="D54" s="520">
        <f>SUM(D55:D57)</f>
        <v>30000000</v>
      </c>
      <c r="E54" s="521">
        <f>SUM(E55:E57)</f>
        <v>49000</v>
      </c>
      <c r="F54" s="521">
        <f>SUM(F55:F57)</f>
        <v>49000</v>
      </c>
      <c r="G54" s="521">
        <f>SUM(G55:G57)</f>
        <v>0</v>
      </c>
      <c r="H54" s="521"/>
    </row>
    <row r="55" spans="1:8" s="247" customFormat="1" ht="13.5" customHeight="1">
      <c r="A55" s="522" t="s">
        <v>125</v>
      </c>
      <c r="B55" s="523" t="s">
        <v>321</v>
      </c>
      <c r="C55" s="539"/>
      <c r="D55" s="539"/>
      <c r="E55" s="540">
        <v>49000</v>
      </c>
      <c r="F55" s="540">
        <v>49000</v>
      </c>
      <c r="G55" s="540"/>
      <c r="H55" s="540"/>
    </row>
    <row r="56" spans="1:8" s="247" customFormat="1" ht="13.5" customHeight="1">
      <c r="A56" s="526" t="s">
        <v>126</v>
      </c>
      <c r="B56" s="527" t="s">
        <v>322</v>
      </c>
      <c r="C56" s="539"/>
      <c r="D56" s="539"/>
      <c r="E56" s="540"/>
      <c r="F56" s="540"/>
      <c r="G56" s="540"/>
      <c r="H56" s="540"/>
    </row>
    <row r="57" spans="1:8" s="247" customFormat="1" ht="13.5" customHeight="1">
      <c r="A57" s="526" t="s">
        <v>151</v>
      </c>
      <c r="B57" s="527" t="s">
        <v>323</v>
      </c>
      <c r="C57" s="539">
        <f>30000000+6625000</f>
        <v>36625000</v>
      </c>
      <c r="D57" s="539">
        <v>30000000</v>
      </c>
      <c r="E57" s="540"/>
      <c r="F57" s="540"/>
      <c r="G57" s="540"/>
      <c r="H57" s="540"/>
    </row>
    <row r="58" spans="1:8" s="247" customFormat="1" ht="13.5" customHeight="1" thickBot="1">
      <c r="A58" s="530" t="s">
        <v>324</v>
      </c>
      <c r="B58" s="531" t="s">
        <v>325</v>
      </c>
      <c r="C58" s="539"/>
      <c r="D58" s="539"/>
      <c r="E58" s="540"/>
      <c r="F58" s="540"/>
      <c r="G58" s="540"/>
      <c r="H58" s="540"/>
    </row>
    <row r="59" spans="1:8" s="247" customFormat="1" ht="12" customHeight="1" thickBot="1">
      <c r="A59" s="518" t="s">
        <v>14</v>
      </c>
      <c r="B59" s="519" t="s">
        <v>326</v>
      </c>
      <c r="C59" s="536">
        <f>+C6+C13+C20+C27+C32+C43+C49+C54</f>
        <v>2257884111</v>
      </c>
      <c r="D59" s="536">
        <f>+D6+D13+D20+D27+D32+D43+D49+D54</f>
        <v>2838956271</v>
      </c>
      <c r="E59" s="545">
        <f>+E6+E13+E20+E27+E32+E43+E49+E54</f>
        <v>2708548815</v>
      </c>
      <c r="F59" s="545">
        <f>+F6+F13+F20+F27+F32+F43+F49+F54</f>
        <v>2706167816</v>
      </c>
      <c r="G59" s="545">
        <f>+G6+G13+G20+G27+G32+G43+G49+G54</f>
        <v>3981000</v>
      </c>
      <c r="H59" s="545"/>
    </row>
    <row r="60" spans="1:8" s="247" customFormat="1" ht="12" customHeight="1" thickBot="1">
      <c r="A60" s="546" t="s">
        <v>327</v>
      </c>
      <c r="B60" s="534" t="s">
        <v>328</v>
      </c>
      <c r="C60" s="520">
        <f>+C61+C62+C63</f>
        <v>0</v>
      </c>
      <c r="D60" s="520">
        <f>+D61+D62+D63</f>
        <v>0</v>
      </c>
      <c r="E60" s="521">
        <f>+E61+E62+E63</f>
        <v>0</v>
      </c>
      <c r="F60" s="521"/>
      <c r="G60" s="521"/>
      <c r="H60" s="521"/>
    </row>
    <row r="61" spans="1:8" s="247" customFormat="1" ht="13.5" customHeight="1">
      <c r="A61" s="522" t="s">
        <v>329</v>
      </c>
      <c r="B61" s="523" t="s">
        <v>330</v>
      </c>
      <c r="C61" s="539"/>
      <c r="D61" s="539"/>
      <c r="E61" s="540"/>
      <c r="F61" s="540"/>
      <c r="G61" s="540"/>
      <c r="H61" s="540"/>
    </row>
    <row r="62" spans="1:8" s="247" customFormat="1" ht="13.5" customHeight="1">
      <c r="A62" s="526" t="s">
        <v>331</v>
      </c>
      <c r="B62" s="527" t="s">
        <v>332</v>
      </c>
      <c r="C62" s="539"/>
      <c r="D62" s="539"/>
      <c r="E62" s="540"/>
      <c r="F62" s="540"/>
      <c r="G62" s="540"/>
      <c r="H62" s="540"/>
    </row>
    <row r="63" spans="1:8" s="247" customFormat="1" ht="13.5" customHeight="1" thickBot="1">
      <c r="A63" s="530" t="s">
        <v>333</v>
      </c>
      <c r="B63" s="547" t="s">
        <v>378</v>
      </c>
      <c r="C63" s="539"/>
      <c r="D63" s="539"/>
      <c r="E63" s="540"/>
      <c r="F63" s="540"/>
      <c r="G63" s="540"/>
      <c r="H63" s="540"/>
    </row>
    <row r="64" spans="1:8" s="247" customFormat="1" ht="12" customHeight="1" thickBot="1">
      <c r="A64" s="546" t="s">
        <v>335</v>
      </c>
      <c r="B64" s="534" t="s">
        <v>336</v>
      </c>
      <c r="C64" s="520">
        <f>+C65+C66+C67+C68</f>
        <v>0</v>
      </c>
      <c r="D64" s="520">
        <f>+D65+D66+D67+D68</f>
        <v>0</v>
      </c>
      <c r="E64" s="521">
        <f>+E65+E66+E67+E68</f>
        <v>0</v>
      </c>
      <c r="F64" s="521"/>
      <c r="G64" s="521"/>
      <c r="H64" s="521"/>
    </row>
    <row r="65" spans="1:8" s="247" customFormat="1" ht="13.5" customHeight="1">
      <c r="A65" s="522" t="s">
        <v>102</v>
      </c>
      <c r="B65" s="523" t="s">
        <v>337</v>
      </c>
      <c r="C65" s="539"/>
      <c r="D65" s="539"/>
      <c r="E65" s="540"/>
      <c r="F65" s="540"/>
      <c r="G65" s="540"/>
      <c r="H65" s="540"/>
    </row>
    <row r="66" spans="1:8" s="247" customFormat="1" ht="13.5" customHeight="1">
      <c r="A66" s="526" t="s">
        <v>103</v>
      </c>
      <c r="B66" s="527" t="s">
        <v>338</v>
      </c>
      <c r="C66" s="539"/>
      <c r="D66" s="539"/>
      <c r="E66" s="540"/>
      <c r="F66" s="540"/>
      <c r="G66" s="540"/>
      <c r="H66" s="540"/>
    </row>
    <row r="67" spans="1:8" s="247" customFormat="1" ht="13.5" customHeight="1">
      <c r="A67" s="526" t="s">
        <v>339</v>
      </c>
      <c r="B67" s="527" t="s">
        <v>340</v>
      </c>
      <c r="C67" s="539"/>
      <c r="D67" s="539"/>
      <c r="E67" s="540"/>
      <c r="F67" s="540"/>
      <c r="G67" s="540"/>
      <c r="H67" s="540"/>
    </row>
    <row r="68" spans="1:8" s="247" customFormat="1" ht="13.5" customHeight="1" thickBot="1">
      <c r="A68" s="530" t="s">
        <v>341</v>
      </c>
      <c r="B68" s="531" t="s">
        <v>342</v>
      </c>
      <c r="C68" s="539"/>
      <c r="D68" s="539"/>
      <c r="E68" s="540"/>
      <c r="F68" s="540"/>
      <c r="G68" s="540"/>
      <c r="H68" s="540"/>
    </row>
    <row r="69" spans="1:8" s="247" customFormat="1" ht="12" customHeight="1" thickBot="1">
      <c r="A69" s="546" t="s">
        <v>343</v>
      </c>
      <c r="B69" s="534" t="s">
        <v>344</v>
      </c>
      <c r="C69" s="520">
        <f>+C70+C71</f>
        <v>120000000</v>
      </c>
      <c r="D69" s="520">
        <f>+D70+D71</f>
        <v>193388304</v>
      </c>
      <c r="E69" s="521">
        <f>+E70+E71</f>
        <v>193388304</v>
      </c>
      <c r="F69" s="521">
        <f>+F70+F71</f>
        <v>193388304</v>
      </c>
      <c r="G69" s="521"/>
      <c r="H69" s="521"/>
    </row>
    <row r="70" spans="1:8" s="247" customFormat="1" ht="13.5" customHeight="1">
      <c r="A70" s="522" t="s">
        <v>345</v>
      </c>
      <c r="B70" s="523" t="s">
        <v>346</v>
      </c>
      <c r="C70" s="539">
        <v>120000000</v>
      </c>
      <c r="D70" s="539">
        <f>170322993+4247906+4258237+4855619+2246645+7456904</f>
        <v>193388304</v>
      </c>
      <c r="E70" s="540">
        <f>170322993+4247906+4258237+4855619+2246645+7456904</f>
        <v>193388304</v>
      </c>
      <c r="F70" s="540">
        <f>170322993+4247906+4258237+4855619+2246645+7456904</f>
        <v>193388304</v>
      </c>
      <c r="G70" s="540"/>
      <c r="H70" s="540"/>
    </row>
    <row r="71" spans="1:8" s="247" customFormat="1" ht="13.5" customHeight="1" thickBot="1">
      <c r="A71" s="530" t="s">
        <v>347</v>
      </c>
      <c r="B71" s="531" t="s">
        <v>348</v>
      </c>
      <c r="C71" s="539"/>
      <c r="D71" s="539"/>
      <c r="E71" s="540"/>
      <c r="F71" s="540"/>
      <c r="G71" s="540"/>
      <c r="H71" s="540"/>
    </row>
    <row r="72" spans="1:8" s="247" customFormat="1" ht="12" customHeight="1" thickBot="1">
      <c r="A72" s="546" t="s">
        <v>349</v>
      </c>
      <c r="B72" s="534" t="s">
        <v>350</v>
      </c>
      <c r="C72" s="520">
        <f>SUM(C73:C76)</f>
        <v>838677219</v>
      </c>
      <c r="D72" s="520">
        <f>+D73+D74+D76+D75</f>
        <v>891212576</v>
      </c>
      <c r="E72" s="548">
        <f>+E73+E74+E76+E75</f>
        <v>844627463</v>
      </c>
      <c r="F72" s="548">
        <f>+F73+F74+F76+F75</f>
        <v>844627464</v>
      </c>
      <c r="G72" s="548"/>
      <c r="H72" s="548"/>
    </row>
    <row r="73" spans="1:8" s="247" customFormat="1" ht="13.5" customHeight="1">
      <c r="A73" s="522" t="s">
        <v>351</v>
      </c>
      <c r="B73" s="523" t="s">
        <v>352</v>
      </c>
      <c r="C73" s="539"/>
      <c r="D73" s="539"/>
      <c r="E73" s="540">
        <v>24433281</v>
      </c>
      <c r="F73" s="540">
        <v>24433282</v>
      </c>
      <c r="G73" s="540"/>
      <c r="H73" s="540"/>
    </row>
    <row r="74" spans="1:8" s="247" customFormat="1" ht="13.5" customHeight="1">
      <c r="A74" s="526" t="s">
        <v>353</v>
      </c>
      <c r="B74" s="527" t="s">
        <v>354</v>
      </c>
      <c r="C74" s="539"/>
      <c r="D74" s="539"/>
      <c r="E74" s="540"/>
      <c r="F74" s="540"/>
      <c r="G74" s="540"/>
      <c r="H74" s="540"/>
    </row>
    <row r="75" spans="1:8" s="247" customFormat="1" ht="13.5" customHeight="1">
      <c r="A75" s="530" t="s">
        <v>355</v>
      </c>
      <c r="B75" s="531" t="s">
        <v>653</v>
      </c>
      <c r="C75" s="539">
        <f>159752000+65622394+48558267+263621367+301123191</f>
        <v>838677219</v>
      </c>
      <c r="D75" s="539">
        <f>160633559+77205816+287270110+52493044+313610047</f>
        <v>891212576</v>
      </c>
      <c r="E75" s="540">
        <f>132202070+60020898+275756923+49562225+302652066</f>
        <v>820194182</v>
      </c>
      <c r="F75" s="540">
        <f>E75-G75</f>
        <v>820194182</v>
      </c>
      <c r="G75" s="540"/>
      <c r="H75" s="540"/>
    </row>
    <row r="76" spans="1:8" s="247" customFormat="1" ht="13.5" customHeight="1" thickBot="1">
      <c r="A76" s="530" t="s">
        <v>652</v>
      </c>
      <c r="B76" s="535" t="s">
        <v>356</v>
      </c>
      <c r="C76" s="539" t="s">
        <v>703</v>
      </c>
      <c r="D76" s="539"/>
      <c r="E76" s="540"/>
      <c r="F76" s="540"/>
      <c r="G76" s="540"/>
      <c r="H76" s="540"/>
    </row>
    <row r="77" spans="1:8" s="247" customFormat="1" ht="12" customHeight="1" thickBot="1">
      <c r="A77" s="546" t="s">
        <v>357</v>
      </c>
      <c r="B77" s="534" t="s">
        <v>358</v>
      </c>
      <c r="C77" s="520">
        <f>+C78+C79+C80+C81</f>
        <v>0</v>
      </c>
      <c r="D77" s="520">
        <f>+D78+D79+D80+D81</f>
        <v>0</v>
      </c>
      <c r="E77" s="521">
        <f>+E78+E79+E80+E81</f>
        <v>0</v>
      </c>
      <c r="F77" s="521"/>
      <c r="G77" s="521"/>
      <c r="H77" s="521"/>
    </row>
    <row r="78" spans="1:8" s="247" customFormat="1" ht="13.5" customHeight="1">
      <c r="A78" s="549" t="s">
        <v>359</v>
      </c>
      <c r="B78" s="523" t="s">
        <v>360</v>
      </c>
      <c r="C78" s="539"/>
      <c r="D78" s="539"/>
      <c r="E78" s="540"/>
      <c r="F78" s="540"/>
      <c r="G78" s="540"/>
      <c r="H78" s="540"/>
    </row>
    <row r="79" spans="1:8" s="247" customFormat="1" ht="13.5" customHeight="1">
      <c r="A79" s="550" t="s">
        <v>361</v>
      </c>
      <c r="B79" s="527" t="s">
        <v>362</v>
      </c>
      <c r="C79" s="539"/>
      <c r="D79" s="539"/>
      <c r="E79" s="540"/>
      <c r="F79" s="540"/>
      <c r="G79" s="540"/>
      <c r="H79" s="540"/>
    </row>
    <row r="80" spans="1:8" s="247" customFormat="1" ht="13.5" customHeight="1">
      <c r="A80" s="550" t="s">
        <v>363</v>
      </c>
      <c r="B80" s="527" t="s">
        <v>364</v>
      </c>
      <c r="C80" s="539"/>
      <c r="D80" s="539"/>
      <c r="E80" s="540"/>
      <c r="F80" s="540"/>
      <c r="G80" s="540"/>
      <c r="H80" s="540"/>
    </row>
    <row r="81" spans="1:8" s="247" customFormat="1" ht="13.5" customHeight="1" thickBot="1">
      <c r="A81" s="551" t="s">
        <v>365</v>
      </c>
      <c r="B81" s="535" t="s">
        <v>366</v>
      </c>
      <c r="C81" s="539"/>
      <c r="D81" s="539"/>
      <c r="E81" s="540"/>
      <c r="F81" s="540"/>
      <c r="G81" s="540"/>
      <c r="H81" s="540"/>
    </row>
    <row r="82" spans="1:8" s="247" customFormat="1" ht="12" customHeight="1" thickBot="1">
      <c r="A82" s="546" t="s">
        <v>367</v>
      </c>
      <c r="B82" s="534" t="s">
        <v>368</v>
      </c>
      <c r="C82" s="552"/>
      <c r="D82" s="552"/>
      <c r="E82" s="553"/>
      <c r="F82" s="553"/>
      <c r="G82" s="553"/>
      <c r="H82" s="553"/>
    </row>
    <row r="83" spans="1:8" s="247" customFormat="1" ht="12" customHeight="1" thickBot="1">
      <c r="A83" s="546" t="s">
        <v>369</v>
      </c>
      <c r="B83" s="554" t="s">
        <v>370</v>
      </c>
      <c r="C83" s="536">
        <f aca="true" t="shared" si="3" ref="C83:H83">+C60+C64+C69+C72+C77+C82</f>
        <v>958677219</v>
      </c>
      <c r="D83" s="536">
        <f t="shared" si="3"/>
        <v>1084600880</v>
      </c>
      <c r="E83" s="545">
        <f t="shared" si="3"/>
        <v>1038015767</v>
      </c>
      <c r="F83" s="545">
        <f t="shared" si="3"/>
        <v>1038015768</v>
      </c>
      <c r="G83" s="545">
        <f t="shared" si="3"/>
        <v>0</v>
      </c>
      <c r="H83" s="545">
        <f t="shared" si="3"/>
        <v>0</v>
      </c>
    </row>
    <row r="84" spans="1:8" s="247" customFormat="1" ht="26.25" customHeight="1" thickBot="1">
      <c r="A84" s="555" t="s">
        <v>371</v>
      </c>
      <c r="B84" s="556" t="s">
        <v>372</v>
      </c>
      <c r="C84" s="536">
        <f aca="true" t="shared" si="4" ref="C84:H84">+C59+C83</f>
        <v>3216561330</v>
      </c>
      <c r="D84" s="536">
        <f t="shared" si="4"/>
        <v>3923557151</v>
      </c>
      <c r="E84" s="545">
        <f t="shared" si="4"/>
        <v>3746564582</v>
      </c>
      <c r="F84" s="545">
        <f t="shared" si="4"/>
        <v>3744183584</v>
      </c>
      <c r="G84" s="545">
        <f t="shared" si="4"/>
        <v>3981000</v>
      </c>
      <c r="H84" s="545">
        <f t="shared" si="4"/>
        <v>0</v>
      </c>
    </row>
    <row r="85" spans="1:5" s="247" customFormat="1" ht="12" customHeight="1">
      <c r="A85" s="557"/>
      <c r="B85" s="557"/>
      <c r="C85" s="558"/>
      <c r="D85" s="558"/>
      <c r="E85" s="558"/>
    </row>
    <row r="86" spans="1:5" ht="16.5" customHeight="1">
      <c r="A86" s="805" t="s">
        <v>35</v>
      </c>
      <c r="B86" s="805"/>
      <c r="C86" s="805"/>
      <c r="D86" s="805"/>
      <c r="E86" s="805"/>
    </row>
    <row r="87" spans="1:8" s="251" customFormat="1" ht="16.5" customHeight="1" thickBot="1">
      <c r="A87" s="559" t="s">
        <v>106</v>
      </c>
      <c r="B87" s="559"/>
      <c r="C87" s="560"/>
      <c r="D87" s="560"/>
      <c r="E87" s="560"/>
      <c r="F87" s="560"/>
      <c r="G87" s="560"/>
      <c r="H87" s="560" t="s">
        <v>860</v>
      </c>
    </row>
    <row r="88" spans="1:8" s="251" customFormat="1" ht="16.5" customHeight="1" thickBot="1">
      <c r="A88" s="810" t="s">
        <v>54</v>
      </c>
      <c r="B88" s="812" t="s">
        <v>171</v>
      </c>
      <c r="C88" s="806" t="str">
        <f>+C3</f>
        <v>2017. évi</v>
      </c>
      <c r="D88" s="807"/>
      <c r="E88" s="807"/>
      <c r="F88" s="807"/>
      <c r="G88" s="807"/>
      <c r="H88" s="808"/>
    </row>
    <row r="89" spans="1:8" ht="37.5" customHeight="1" thickBot="1">
      <c r="A89" s="811"/>
      <c r="B89" s="813"/>
      <c r="C89" s="764" t="s">
        <v>172</v>
      </c>
      <c r="D89" s="764" t="s">
        <v>176</v>
      </c>
      <c r="E89" s="765" t="s">
        <v>177</v>
      </c>
      <c r="F89" s="337" t="s">
        <v>972</v>
      </c>
      <c r="G89" s="337" t="s">
        <v>973</v>
      </c>
      <c r="H89" s="337" t="s">
        <v>974</v>
      </c>
    </row>
    <row r="90" spans="1:8" s="246" customFormat="1" ht="12" customHeight="1" thickBot="1">
      <c r="A90" s="515" t="s">
        <v>373</v>
      </c>
      <c r="B90" s="516" t="s">
        <v>374</v>
      </c>
      <c r="C90" s="516" t="s">
        <v>375</v>
      </c>
      <c r="D90" s="516" t="s">
        <v>376</v>
      </c>
      <c r="E90" s="561" t="s">
        <v>377</v>
      </c>
      <c r="F90" s="103" t="s">
        <v>453</v>
      </c>
      <c r="G90" s="103" t="s">
        <v>454</v>
      </c>
      <c r="H90" s="103" t="s">
        <v>455</v>
      </c>
    </row>
    <row r="91" spans="1:8" ht="12" customHeight="1" thickBot="1">
      <c r="A91" s="518" t="s">
        <v>6</v>
      </c>
      <c r="B91" s="575" t="s">
        <v>861</v>
      </c>
      <c r="C91" s="562">
        <f aca="true" t="shared" si="5" ref="C91:H91">SUM(C92:C96)</f>
        <v>1510157335</v>
      </c>
      <c r="D91" s="562">
        <f t="shared" si="5"/>
        <v>1614427082</v>
      </c>
      <c r="E91" s="563">
        <f t="shared" si="5"/>
        <v>1387202196</v>
      </c>
      <c r="F91" s="563">
        <f t="shared" si="5"/>
        <v>1329590627</v>
      </c>
      <c r="G91" s="521">
        <f t="shared" si="5"/>
        <v>57611569</v>
      </c>
      <c r="H91" s="521">
        <f t="shared" si="5"/>
        <v>0</v>
      </c>
    </row>
    <row r="92" spans="1:8" ht="13.5" customHeight="1">
      <c r="A92" s="522" t="s">
        <v>66</v>
      </c>
      <c r="B92" s="580" t="s">
        <v>36</v>
      </c>
      <c r="C92" s="528">
        <f>55249607+111525000+46317604+244744626+33027267+221200529</f>
        <v>712064633</v>
      </c>
      <c r="D92" s="528">
        <f>56718114+112566998+55755618+252806300+35277591+231275799</f>
        <v>744400420</v>
      </c>
      <c r="E92" s="528">
        <f>41779369+93125234+46264015+233904261+31629778+230951313</f>
        <v>677653970</v>
      </c>
      <c r="F92" s="528">
        <f>E92-G92</f>
        <v>655855377</v>
      </c>
      <c r="G92" s="525">
        <f>17127990+4670603</f>
        <v>21798593</v>
      </c>
      <c r="H92" s="525"/>
    </row>
    <row r="93" spans="1:8" ht="13.5" customHeight="1">
      <c r="A93" s="526" t="s">
        <v>67</v>
      </c>
      <c r="B93" s="564" t="s">
        <v>127</v>
      </c>
      <c r="C93" s="528">
        <f>12205175+21985000+9389350+49220741+7113000+63272662</f>
        <v>163185928</v>
      </c>
      <c r="D93" s="528">
        <f>12619368+22999480+11486216+52246138+7598964+65221287</f>
        <v>172171453</v>
      </c>
      <c r="E93" s="528">
        <f>9551986+22517486+9824182+48952060+6796329+54510030</f>
        <v>152152073</v>
      </c>
      <c r="F93" s="528">
        <f>E93-G93</f>
        <v>143893213</v>
      </c>
      <c r="G93" s="529">
        <f>6997837+1261023</f>
        <v>8258860</v>
      </c>
      <c r="H93" s="529"/>
    </row>
    <row r="94" spans="1:8" ht="13.5" customHeight="1">
      <c r="A94" s="526" t="s">
        <v>68</v>
      </c>
      <c r="B94" s="564" t="s">
        <v>95</v>
      </c>
      <c r="C94" s="528">
        <f>107310615+32143000+9166140+177831000+27137000+14267000</f>
        <v>367854755</v>
      </c>
      <c r="D94" s="528">
        <f>169975945+31068075+13335564+189563870+30802556+22186871</f>
        <v>456932881</v>
      </c>
      <c r="E94" s="528">
        <f>151929415+24143888+7325512+173400168+27720240+11698448</f>
        <v>396217671</v>
      </c>
      <c r="F94" s="528">
        <f>E94-G94</f>
        <v>387753555</v>
      </c>
      <c r="G94" s="533">
        <f>'6..sz. mell önkormányzat'!G91</f>
        <v>8464116</v>
      </c>
      <c r="H94" s="533"/>
    </row>
    <row r="95" spans="1:8" ht="13.5" customHeight="1">
      <c r="A95" s="526" t="s">
        <v>69</v>
      </c>
      <c r="B95" s="565" t="s">
        <v>128</v>
      </c>
      <c r="C95" s="528">
        <v>40350000</v>
      </c>
      <c r="D95" s="528">
        <v>49318000</v>
      </c>
      <c r="E95" s="528">
        <v>34319947</v>
      </c>
      <c r="F95" s="528">
        <f>E95-G95</f>
        <v>34319947</v>
      </c>
      <c r="G95" s="533"/>
      <c r="H95" s="533"/>
    </row>
    <row r="96" spans="1:8" ht="13.5" customHeight="1">
      <c r="A96" s="526" t="s">
        <v>78</v>
      </c>
      <c r="B96" s="566" t="s">
        <v>129</v>
      </c>
      <c r="C96" s="528">
        <v>226702019</v>
      </c>
      <c r="D96" s="528">
        <f>SUM(D97:D107)</f>
        <v>191604328</v>
      </c>
      <c r="E96" s="528">
        <v>126858535</v>
      </c>
      <c r="F96" s="528">
        <f>SUM(F97:F107)-G96</f>
        <v>107768535</v>
      </c>
      <c r="G96" s="528">
        <f>SUM(G97:G107)</f>
        <v>19090000</v>
      </c>
      <c r="H96" s="533"/>
    </row>
    <row r="97" spans="1:8" ht="13.5" customHeight="1">
      <c r="A97" s="526" t="s">
        <v>70</v>
      </c>
      <c r="B97" s="564" t="s">
        <v>380</v>
      </c>
      <c r="C97" s="528"/>
      <c r="D97" s="528">
        <v>3198265</v>
      </c>
      <c r="E97" s="528">
        <v>3198265</v>
      </c>
      <c r="F97" s="528">
        <v>3198265</v>
      </c>
      <c r="G97" s="533"/>
      <c r="H97" s="533"/>
    </row>
    <row r="98" spans="1:8" ht="13.5" customHeight="1">
      <c r="A98" s="526" t="s">
        <v>71</v>
      </c>
      <c r="B98" s="567" t="s">
        <v>655</v>
      </c>
      <c r="C98" s="528"/>
      <c r="D98" s="528"/>
      <c r="E98" s="528"/>
      <c r="F98" s="528"/>
      <c r="G98" s="533"/>
      <c r="H98" s="533"/>
    </row>
    <row r="99" spans="1:8" ht="13.5" customHeight="1">
      <c r="A99" s="526" t="s">
        <v>79</v>
      </c>
      <c r="B99" s="568" t="s">
        <v>663</v>
      </c>
      <c r="C99" s="528"/>
      <c r="D99" s="528"/>
      <c r="E99" s="528"/>
      <c r="F99" s="528"/>
      <c r="G99" s="533"/>
      <c r="H99" s="533"/>
    </row>
    <row r="100" spans="1:8" ht="13.5" customHeight="1">
      <c r="A100" s="526" t="s">
        <v>80</v>
      </c>
      <c r="B100" s="568" t="s">
        <v>656</v>
      </c>
      <c r="C100" s="532"/>
      <c r="D100" s="532"/>
      <c r="E100" s="533"/>
      <c r="F100" s="533"/>
      <c r="G100" s="533"/>
      <c r="H100" s="533"/>
    </row>
    <row r="101" spans="1:8" ht="13.5" customHeight="1">
      <c r="A101" s="526" t="s">
        <v>81</v>
      </c>
      <c r="B101" s="567" t="s">
        <v>384</v>
      </c>
      <c r="C101" s="532">
        <v>91463884</v>
      </c>
      <c r="D101" s="532">
        <v>110350339</v>
      </c>
      <c r="E101" s="533">
        <v>109157980</v>
      </c>
      <c r="F101" s="533">
        <v>109157980</v>
      </c>
      <c r="G101" s="533"/>
      <c r="H101" s="533"/>
    </row>
    <row r="102" spans="1:8" ht="13.5" customHeight="1">
      <c r="A102" s="526" t="s">
        <v>82</v>
      </c>
      <c r="B102" s="567" t="s">
        <v>657</v>
      </c>
      <c r="C102" s="532"/>
      <c r="D102" s="532"/>
      <c r="E102" s="533"/>
      <c r="F102" s="533"/>
      <c r="G102" s="533"/>
      <c r="H102" s="533"/>
    </row>
    <row r="103" spans="1:8" ht="13.5" customHeight="1">
      <c r="A103" s="526" t="s">
        <v>84</v>
      </c>
      <c r="B103" s="568" t="s">
        <v>658</v>
      </c>
      <c r="C103" s="532">
        <v>30000000</v>
      </c>
      <c r="D103" s="532">
        <v>30000000</v>
      </c>
      <c r="E103" s="533"/>
      <c r="F103" s="533"/>
      <c r="G103" s="533"/>
      <c r="H103" s="533"/>
    </row>
    <row r="104" spans="1:8" ht="13.5" customHeight="1">
      <c r="A104" s="569" t="s">
        <v>130</v>
      </c>
      <c r="B104" s="570" t="s">
        <v>659</v>
      </c>
      <c r="C104" s="532"/>
      <c r="D104" s="532"/>
      <c r="E104" s="533"/>
      <c r="F104" s="533"/>
      <c r="G104" s="533"/>
      <c r="H104" s="533"/>
    </row>
    <row r="105" spans="1:8" ht="13.5" customHeight="1">
      <c r="A105" s="526" t="s">
        <v>388</v>
      </c>
      <c r="B105" s="570" t="s">
        <v>660</v>
      </c>
      <c r="C105" s="532"/>
      <c r="D105" s="532"/>
      <c r="E105" s="533"/>
      <c r="F105" s="533"/>
      <c r="G105" s="533"/>
      <c r="H105" s="533"/>
    </row>
    <row r="106" spans="1:8" ht="13.5" customHeight="1">
      <c r="A106" s="530" t="s">
        <v>390</v>
      </c>
      <c r="B106" s="570" t="s">
        <v>661</v>
      </c>
      <c r="C106" s="532">
        <v>14377290</v>
      </c>
      <c r="D106" s="532">
        <v>20082290</v>
      </c>
      <c r="E106" s="533">
        <v>14502290</v>
      </c>
      <c r="F106" s="533">
        <v>14502290</v>
      </c>
      <c r="G106" s="533">
        <f>'6..sz. mell önkormányzat'!G103</f>
        <v>19090000</v>
      </c>
      <c r="H106" s="533"/>
    </row>
    <row r="107" spans="1:8" ht="13.5" customHeight="1" thickBot="1">
      <c r="A107" s="571" t="s">
        <v>654</v>
      </c>
      <c r="B107" s="572" t="s">
        <v>662</v>
      </c>
      <c r="C107" s="573">
        <v>90860845</v>
      </c>
      <c r="D107" s="573">
        <v>27973434</v>
      </c>
      <c r="E107" s="574"/>
      <c r="F107" s="574"/>
      <c r="G107" s="574"/>
      <c r="H107" s="574"/>
    </row>
    <row r="108" spans="1:8" ht="12" customHeight="1" thickBot="1">
      <c r="A108" s="518" t="s">
        <v>7</v>
      </c>
      <c r="B108" s="575" t="s">
        <v>862</v>
      </c>
      <c r="C108" s="520">
        <f>+C109+C111+C113</f>
        <v>842395556</v>
      </c>
      <c r="D108" s="520">
        <f>+D109+D111+D113</f>
        <v>1392586273</v>
      </c>
      <c r="E108" s="521">
        <f>+E109+E111+E113</f>
        <v>373994608</v>
      </c>
      <c r="F108" s="521">
        <f>+F109+F111+F113</f>
        <v>373994608</v>
      </c>
      <c r="G108" s="521"/>
      <c r="H108" s="521"/>
    </row>
    <row r="109" spans="1:8" ht="13.5" customHeight="1">
      <c r="A109" s="522" t="s">
        <v>72</v>
      </c>
      <c r="B109" s="564" t="s">
        <v>150</v>
      </c>
      <c r="C109" s="524">
        <f>75327621+3429000+622300+6975000+800000+968000</f>
        <v>88121921</v>
      </c>
      <c r="D109" s="524">
        <f>468298344+7576906+759655+16848561+824578+1425954</f>
        <v>495733998</v>
      </c>
      <c r="E109" s="525">
        <f>25870053+1232790+688265+16848561+824578+1425293</f>
        <v>46889540</v>
      </c>
      <c r="F109" s="525">
        <f>25870053+1232790+688265+16848561+824578+1425293</f>
        <v>46889540</v>
      </c>
      <c r="G109" s="525"/>
      <c r="H109" s="525"/>
    </row>
    <row r="110" spans="1:8" ht="13.5" customHeight="1">
      <c r="A110" s="522" t="s">
        <v>73</v>
      </c>
      <c r="B110" s="576" t="s">
        <v>393</v>
      </c>
      <c r="C110" s="524"/>
      <c r="D110" s="524"/>
      <c r="E110" s="525"/>
      <c r="F110" s="525"/>
      <c r="G110" s="525"/>
      <c r="H110" s="525"/>
    </row>
    <row r="111" spans="1:8" ht="13.5" customHeight="1">
      <c r="A111" s="522" t="s">
        <v>74</v>
      </c>
      <c r="B111" s="576" t="s">
        <v>131</v>
      </c>
      <c r="C111" s="528">
        <f>680621635+127000+1525000</f>
        <v>682273635</v>
      </c>
      <c r="D111" s="528">
        <f>779875548+127000+210860+1067046</f>
        <v>781280454</v>
      </c>
      <c r="E111" s="529">
        <f>265343014+210860</f>
        <v>265553874</v>
      </c>
      <c r="F111" s="529">
        <f>265343014+210860</f>
        <v>265553874</v>
      </c>
      <c r="G111" s="529"/>
      <c r="H111" s="529"/>
    </row>
    <row r="112" spans="1:8" ht="13.5" customHeight="1">
      <c r="A112" s="522" t="s">
        <v>75</v>
      </c>
      <c r="B112" s="576" t="s">
        <v>394</v>
      </c>
      <c r="C112" s="528"/>
      <c r="D112" s="528"/>
      <c r="E112" s="529"/>
      <c r="F112" s="529"/>
      <c r="G112" s="529"/>
      <c r="H112" s="529"/>
    </row>
    <row r="113" spans="1:8" ht="13.5" customHeight="1">
      <c r="A113" s="522" t="s">
        <v>76</v>
      </c>
      <c r="B113" s="535" t="s">
        <v>152</v>
      </c>
      <c r="C113" s="528">
        <v>72000000</v>
      </c>
      <c r="D113" s="528">
        <v>115571821</v>
      </c>
      <c r="E113" s="529">
        <v>61551194</v>
      </c>
      <c r="F113" s="529">
        <v>61551194</v>
      </c>
      <c r="G113" s="529"/>
      <c r="H113" s="529"/>
    </row>
    <row r="114" spans="1:8" ht="13.5" customHeight="1">
      <c r="A114" s="522" t="s">
        <v>83</v>
      </c>
      <c r="B114" s="577" t="s">
        <v>395</v>
      </c>
      <c r="C114" s="528">
        <v>25000000</v>
      </c>
      <c r="D114" s="528">
        <v>50000000</v>
      </c>
      <c r="E114" s="529">
        <v>20380000</v>
      </c>
      <c r="F114" s="529">
        <v>20380000</v>
      </c>
      <c r="G114" s="529"/>
      <c r="H114" s="529"/>
    </row>
    <row r="115" spans="1:8" ht="13.5" customHeight="1">
      <c r="A115" s="522" t="s">
        <v>85</v>
      </c>
      <c r="B115" s="578" t="s">
        <v>396</v>
      </c>
      <c r="C115" s="528"/>
      <c r="D115" s="528"/>
      <c r="E115" s="529"/>
      <c r="F115" s="529"/>
      <c r="G115" s="529"/>
      <c r="H115" s="529"/>
    </row>
    <row r="116" spans="1:8" ht="13.5" customHeight="1">
      <c r="A116" s="522" t="s">
        <v>132</v>
      </c>
      <c r="B116" s="568" t="s">
        <v>383</v>
      </c>
      <c r="C116" s="528"/>
      <c r="D116" s="528"/>
      <c r="E116" s="529"/>
      <c r="F116" s="529"/>
      <c r="G116" s="529"/>
      <c r="H116" s="529"/>
    </row>
    <row r="117" spans="1:8" ht="13.5" customHeight="1">
      <c r="A117" s="522" t="s">
        <v>133</v>
      </c>
      <c r="B117" s="568" t="s">
        <v>397</v>
      </c>
      <c r="C117" s="528"/>
      <c r="D117" s="528"/>
      <c r="E117" s="529"/>
      <c r="F117" s="529"/>
      <c r="G117" s="529"/>
      <c r="H117" s="529"/>
    </row>
    <row r="118" spans="1:8" ht="13.5" customHeight="1">
      <c r="A118" s="522" t="s">
        <v>134</v>
      </c>
      <c r="B118" s="568" t="s">
        <v>398</v>
      </c>
      <c r="C118" s="528"/>
      <c r="D118" s="528"/>
      <c r="E118" s="529"/>
      <c r="F118" s="529"/>
      <c r="G118" s="529"/>
      <c r="H118" s="529"/>
    </row>
    <row r="119" spans="1:8" s="257" customFormat="1" ht="13.5" customHeight="1">
      <c r="A119" s="522" t="s">
        <v>399</v>
      </c>
      <c r="B119" s="568" t="s">
        <v>386</v>
      </c>
      <c r="C119" s="528"/>
      <c r="D119" s="528"/>
      <c r="E119" s="529"/>
      <c r="F119" s="529"/>
      <c r="G119" s="529"/>
      <c r="H119" s="529"/>
    </row>
    <row r="120" spans="1:8" ht="13.5" customHeight="1">
      <c r="A120" s="522" t="s">
        <v>400</v>
      </c>
      <c r="B120" s="568" t="s">
        <v>401</v>
      </c>
      <c r="C120" s="528"/>
      <c r="D120" s="528"/>
      <c r="E120" s="529"/>
      <c r="F120" s="529"/>
      <c r="G120" s="529"/>
      <c r="H120" s="529"/>
    </row>
    <row r="121" spans="1:8" ht="13.5" customHeight="1" thickBot="1">
      <c r="A121" s="569" t="s">
        <v>402</v>
      </c>
      <c r="B121" s="568" t="s">
        <v>403</v>
      </c>
      <c r="C121" s="532">
        <v>47000000</v>
      </c>
      <c r="D121" s="532">
        <v>65571821</v>
      </c>
      <c r="E121" s="533">
        <v>41171194</v>
      </c>
      <c r="F121" s="533">
        <v>41171194</v>
      </c>
      <c r="G121" s="533"/>
      <c r="H121" s="533"/>
    </row>
    <row r="122" spans="1:8" ht="12" customHeight="1" thickBot="1">
      <c r="A122" s="518" t="s">
        <v>8</v>
      </c>
      <c r="B122" s="579" t="s">
        <v>404</v>
      </c>
      <c r="C122" s="520">
        <f>+C123+C124</f>
        <v>0</v>
      </c>
      <c r="D122" s="520">
        <f>+D123+D124</f>
        <v>0</v>
      </c>
      <c r="E122" s="521">
        <f>+E123+E124</f>
        <v>0</v>
      </c>
      <c r="F122" s="521">
        <f>+F123+F124</f>
        <v>0</v>
      </c>
      <c r="G122" s="521"/>
      <c r="H122" s="521"/>
    </row>
    <row r="123" spans="1:8" ht="13.5" customHeight="1">
      <c r="A123" s="522" t="s">
        <v>55</v>
      </c>
      <c r="B123" s="580" t="s">
        <v>44</v>
      </c>
      <c r="C123" s="524"/>
      <c r="D123" s="524"/>
      <c r="E123" s="525"/>
      <c r="F123" s="525"/>
      <c r="G123" s="525"/>
      <c r="H123" s="525"/>
    </row>
    <row r="124" spans="1:8" ht="13.5" customHeight="1" thickBot="1">
      <c r="A124" s="530" t="s">
        <v>56</v>
      </c>
      <c r="B124" s="576" t="s">
        <v>45</v>
      </c>
      <c r="C124" s="532"/>
      <c r="D124" s="532"/>
      <c r="E124" s="533"/>
      <c r="F124" s="533"/>
      <c r="G124" s="533"/>
      <c r="H124" s="533"/>
    </row>
    <row r="125" spans="1:8" ht="12" customHeight="1" thickBot="1">
      <c r="A125" s="518" t="s">
        <v>9</v>
      </c>
      <c r="B125" s="579" t="s">
        <v>405</v>
      </c>
      <c r="C125" s="520">
        <f>+C91+C108+C122</f>
        <v>2352552891</v>
      </c>
      <c r="D125" s="520">
        <f>+D91+D108+D122</f>
        <v>3007013355</v>
      </c>
      <c r="E125" s="521">
        <f>+E91+E108+E122</f>
        <v>1761196804</v>
      </c>
      <c r="F125" s="521">
        <f>+F91+F108+F122</f>
        <v>1703585235</v>
      </c>
      <c r="G125" s="521">
        <f>+G91+G108+G122</f>
        <v>57611569</v>
      </c>
      <c r="H125" s="521"/>
    </row>
    <row r="126" spans="1:8" ht="12" customHeight="1" thickBot="1">
      <c r="A126" s="518" t="s">
        <v>10</v>
      </c>
      <c r="B126" s="579" t="s">
        <v>406</v>
      </c>
      <c r="C126" s="520">
        <f>+C127+C128+C129</f>
        <v>0</v>
      </c>
      <c r="D126" s="520">
        <f>+D127+D128+D129</f>
        <v>0</v>
      </c>
      <c r="E126" s="521">
        <f>+E127+E128+E129</f>
        <v>0</v>
      </c>
      <c r="F126" s="521">
        <f>+F127+F128+F129</f>
        <v>0</v>
      </c>
      <c r="G126" s="521"/>
      <c r="H126" s="521"/>
    </row>
    <row r="127" spans="1:8" ht="13.5" customHeight="1">
      <c r="A127" s="522" t="s">
        <v>59</v>
      </c>
      <c r="B127" s="580" t="s">
        <v>407</v>
      </c>
      <c r="C127" s="528"/>
      <c r="D127" s="528"/>
      <c r="E127" s="529"/>
      <c r="F127" s="529"/>
      <c r="G127" s="529"/>
      <c r="H127" s="529"/>
    </row>
    <row r="128" spans="1:8" ht="13.5" customHeight="1">
      <c r="A128" s="522" t="s">
        <v>60</v>
      </c>
      <c r="B128" s="580" t="s">
        <v>408</v>
      </c>
      <c r="C128" s="528"/>
      <c r="D128" s="528"/>
      <c r="E128" s="529"/>
      <c r="F128" s="529"/>
      <c r="G128" s="529"/>
      <c r="H128" s="529"/>
    </row>
    <row r="129" spans="1:8" ht="13.5" customHeight="1" thickBot="1">
      <c r="A129" s="569" t="s">
        <v>61</v>
      </c>
      <c r="B129" s="581" t="s">
        <v>409</v>
      </c>
      <c r="C129" s="528"/>
      <c r="D129" s="528"/>
      <c r="E129" s="529"/>
      <c r="F129" s="529"/>
      <c r="G129" s="529"/>
      <c r="H129" s="529"/>
    </row>
    <row r="130" spans="1:8" ht="13.5" customHeight="1" thickBot="1">
      <c r="A130" s="518" t="s">
        <v>11</v>
      </c>
      <c r="B130" s="579" t="s">
        <v>410</v>
      </c>
      <c r="C130" s="520">
        <f>+C131+C132+C134+C133</f>
        <v>0</v>
      </c>
      <c r="D130" s="520">
        <f>+D131+D132+D134+D133</f>
        <v>0</v>
      </c>
      <c r="E130" s="520">
        <f>+E131+E132+E134+E133</f>
        <v>0</v>
      </c>
      <c r="F130" s="520">
        <f>+F131+F132+F134+F133</f>
        <v>0</v>
      </c>
      <c r="G130" s="520"/>
      <c r="H130" s="520"/>
    </row>
    <row r="131" spans="1:8" ht="13.5" customHeight="1">
      <c r="A131" s="522" t="s">
        <v>62</v>
      </c>
      <c r="B131" s="580" t="s">
        <v>411</v>
      </c>
      <c r="C131" s="528"/>
      <c r="D131" s="528"/>
      <c r="E131" s="529"/>
      <c r="F131" s="529"/>
      <c r="G131" s="529"/>
      <c r="H131" s="529"/>
    </row>
    <row r="132" spans="1:8" ht="13.5" customHeight="1">
      <c r="A132" s="522" t="s">
        <v>63</v>
      </c>
      <c r="B132" s="564" t="s">
        <v>412</v>
      </c>
      <c r="C132" s="528"/>
      <c r="D132" s="528"/>
      <c r="E132" s="529"/>
      <c r="F132" s="529"/>
      <c r="G132" s="529"/>
      <c r="H132" s="529"/>
    </row>
    <row r="133" spans="1:8" ht="13.5" customHeight="1">
      <c r="A133" s="522" t="s">
        <v>307</v>
      </c>
      <c r="B133" s="580" t="s">
        <v>413</v>
      </c>
      <c r="C133" s="528"/>
      <c r="D133" s="528"/>
      <c r="E133" s="529"/>
      <c r="F133" s="529"/>
      <c r="G133" s="529"/>
      <c r="H133" s="529"/>
    </row>
    <row r="134" spans="1:8" ht="13.5" customHeight="1" thickBot="1">
      <c r="A134" s="569" t="s">
        <v>309</v>
      </c>
      <c r="B134" s="581" t="s">
        <v>414</v>
      </c>
      <c r="C134" s="528"/>
      <c r="D134" s="528"/>
      <c r="E134" s="529"/>
      <c r="F134" s="529"/>
      <c r="G134" s="529"/>
      <c r="H134" s="529"/>
    </row>
    <row r="135" spans="1:8" ht="13.5" customHeight="1" thickBot="1">
      <c r="A135" s="518" t="s">
        <v>12</v>
      </c>
      <c r="B135" s="579" t="s">
        <v>615</v>
      </c>
      <c r="C135" s="536">
        <f>+C136+C137+C139+C140+C138</f>
        <v>864008439</v>
      </c>
      <c r="D135" s="536">
        <f>+D136+D137+D139+D140+D138</f>
        <v>916543796</v>
      </c>
      <c r="E135" s="582">
        <f>+E136+E137+E139+E140+E138</f>
        <v>845525402</v>
      </c>
      <c r="F135" s="582">
        <f>+F136+F137+F139+F140+F138</f>
        <v>821399578</v>
      </c>
      <c r="G135" s="582">
        <f>+G136+G137+G139+G140+G138</f>
        <v>24125824</v>
      </c>
      <c r="H135" s="582"/>
    </row>
    <row r="136" spans="1:8" ht="13.5" customHeight="1">
      <c r="A136" s="522" t="s">
        <v>64</v>
      </c>
      <c r="B136" s="580" t="s">
        <v>415</v>
      </c>
      <c r="C136" s="528"/>
      <c r="D136" s="528"/>
      <c r="E136" s="529"/>
      <c r="F136" s="529"/>
      <c r="G136" s="529"/>
      <c r="H136" s="529"/>
    </row>
    <row r="137" spans="1:8" ht="13.5" customHeight="1">
      <c r="A137" s="522" t="s">
        <v>65</v>
      </c>
      <c r="B137" s="580" t="s">
        <v>416</v>
      </c>
      <c r="C137" s="528">
        <v>25331220</v>
      </c>
      <c r="D137" s="528">
        <v>25331220</v>
      </c>
      <c r="E137" s="529">
        <v>25331220</v>
      </c>
      <c r="F137" s="529">
        <v>25331220</v>
      </c>
      <c r="G137" s="529"/>
      <c r="H137" s="529"/>
    </row>
    <row r="138" spans="1:8" ht="13.5" customHeight="1">
      <c r="A138" s="522" t="s">
        <v>316</v>
      </c>
      <c r="B138" s="577" t="s">
        <v>653</v>
      </c>
      <c r="C138" s="528">
        <v>838677219</v>
      </c>
      <c r="D138" s="528">
        <v>891212576</v>
      </c>
      <c r="E138" s="529">
        <v>820194182</v>
      </c>
      <c r="F138" s="529">
        <f>E138-G138</f>
        <v>796068358</v>
      </c>
      <c r="G138" s="529">
        <f>'6..sz. mell önkormányzat'!G132</f>
        <v>24125824</v>
      </c>
      <c r="H138" s="529"/>
    </row>
    <row r="139" spans="1:8" ht="13.5" customHeight="1">
      <c r="A139" s="522" t="s">
        <v>318</v>
      </c>
      <c r="B139" s="580" t="s">
        <v>530</v>
      </c>
      <c r="C139" s="528"/>
      <c r="D139" s="528"/>
      <c r="E139" s="529"/>
      <c r="F139" s="529"/>
      <c r="G139" s="529"/>
      <c r="H139" s="529"/>
    </row>
    <row r="140" spans="1:8" ht="13.5" customHeight="1" thickBot="1">
      <c r="A140" s="569" t="s">
        <v>613</v>
      </c>
      <c r="B140" s="581" t="s">
        <v>460</v>
      </c>
      <c r="C140" s="528"/>
      <c r="D140" s="528"/>
      <c r="E140" s="529"/>
      <c r="F140" s="529"/>
      <c r="G140" s="529"/>
      <c r="H140" s="529"/>
    </row>
    <row r="141" spans="1:9" ht="13.5" customHeight="1" thickBot="1">
      <c r="A141" s="518" t="s">
        <v>13</v>
      </c>
      <c r="B141" s="579" t="s">
        <v>419</v>
      </c>
      <c r="C141" s="583">
        <f>+C142+C143+C144+C145</f>
        <v>0</v>
      </c>
      <c r="D141" s="583">
        <f>+D142+D143+D144+D145</f>
        <v>0</v>
      </c>
      <c r="E141" s="584">
        <f>+E142+E143+E144+E145</f>
        <v>0</v>
      </c>
      <c r="F141" s="584">
        <f>+F142+F143+F144+F145</f>
        <v>0</v>
      </c>
      <c r="G141" s="584"/>
      <c r="H141" s="584"/>
      <c r="I141" s="252"/>
    </row>
    <row r="142" spans="1:8" s="247" customFormat="1" ht="13.5" customHeight="1">
      <c r="A142" s="522" t="s">
        <v>125</v>
      </c>
      <c r="B142" s="580" t="s">
        <v>420</v>
      </c>
      <c r="C142" s="528"/>
      <c r="D142" s="528"/>
      <c r="E142" s="529"/>
      <c r="F142" s="529"/>
      <c r="G142" s="529"/>
      <c r="H142" s="529"/>
    </row>
    <row r="143" spans="1:8" ht="13.5" customHeight="1">
      <c r="A143" s="522" t="s">
        <v>126</v>
      </c>
      <c r="B143" s="580" t="s">
        <v>421</v>
      </c>
      <c r="C143" s="528"/>
      <c r="D143" s="528"/>
      <c r="E143" s="529"/>
      <c r="F143" s="529"/>
      <c r="G143" s="529"/>
      <c r="H143" s="529"/>
    </row>
    <row r="144" spans="1:8" ht="13.5" customHeight="1">
      <c r="A144" s="522" t="s">
        <v>151</v>
      </c>
      <c r="B144" s="580" t="s">
        <v>422</v>
      </c>
      <c r="C144" s="528"/>
      <c r="D144" s="528"/>
      <c r="E144" s="529"/>
      <c r="F144" s="529"/>
      <c r="G144" s="529"/>
      <c r="H144" s="529"/>
    </row>
    <row r="145" spans="1:8" ht="13.5" customHeight="1" thickBot="1">
      <c r="A145" s="522" t="s">
        <v>324</v>
      </c>
      <c r="B145" s="580" t="s">
        <v>423</v>
      </c>
      <c r="C145" s="528"/>
      <c r="D145" s="528"/>
      <c r="E145" s="529"/>
      <c r="F145" s="529"/>
      <c r="G145" s="529"/>
      <c r="H145" s="529"/>
    </row>
    <row r="146" spans="1:8" ht="15.75" thickBot="1">
      <c r="A146" s="518" t="s">
        <v>14</v>
      </c>
      <c r="B146" s="579" t="s">
        <v>424</v>
      </c>
      <c r="C146" s="585">
        <f>+C126+C130+C135+C141</f>
        <v>864008439</v>
      </c>
      <c r="D146" s="585">
        <f>+D126+D130+D135+D141</f>
        <v>916543796</v>
      </c>
      <c r="E146" s="586">
        <f>+E126+E130+E135+E141</f>
        <v>845525402</v>
      </c>
      <c r="F146" s="586">
        <f>+F126+F130+F135+F141</f>
        <v>821399578</v>
      </c>
      <c r="G146" s="586">
        <f>+G126+G130+G135+G141</f>
        <v>24125824</v>
      </c>
      <c r="H146" s="586"/>
    </row>
    <row r="147" spans="1:8" ht="15.75" thickBot="1">
      <c r="A147" s="587" t="s">
        <v>15</v>
      </c>
      <c r="B147" s="588" t="s">
        <v>425</v>
      </c>
      <c r="C147" s="585">
        <f>+C125+C146</f>
        <v>3216561330</v>
      </c>
      <c r="D147" s="585">
        <f>+D125+D146</f>
        <v>3923557151</v>
      </c>
      <c r="E147" s="586">
        <f>+E125+E146</f>
        <v>2606722206</v>
      </c>
      <c r="F147" s="586">
        <f>+F125+F146</f>
        <v>2524984813</v>
      </c>
      <c r="G147" s="586">
        <f>+G125+G146</f>
        <v>81737393</v>
      </c>
      <c r="H147" s="586"/>
    </row>
    <row r="149" spans="1:5" ht="18.75" customHeight="1">
      <c r="A149" s="809" t="s">
        <v>426</v>
      </c>
      <c r="B149" s="809"/>
      <c r="C149" s="809"/>
      <c r="D149" s="809"/>
      <c r="E149" s="809"/>
    </row>
    <row r="150" spans="1:8" ht="13.5" customHeight="1" thickBot="1">
      <c r="A150" s="589" t="s">
        <v>107</v>
      </c>
      <c r="B150" s="589"/>
      <c r="C150" s="235"/>
      <c r="E150" s="590"/>
      <c r="F150" s="590"/>
      <c r="G150" s="590"/>
      <c r="H150" s="590" t="s">
        <v>975</v>
      </c>
    </row>
    <row r="151" spans="1:8" ht="31.5" thickBot="1">
      <c r="A151" s="518">
        <v>1</v>
      </c>
      <c r="B151" s="575" t="s">
        <v>427</v>
      </c>
      <c r="C151" s="548">
        <f>+C59-C125</f>
        <v>-94668780</v>
      </c>
      <c r="D151" s="548">
        <f>+D59-D125</f>
        <v>-168057084</v>
      </c>
      <c r="E151" s="548">
        <f>+E59-E125</f>
        <v>947352011</v>
      </c>
      <c r="F151" s="548"/>
      <c r="G151" s="548"/>
      <c r="H151" s="548">
        <f>+H59-H125</f>
        <v>0</v>
      </c>
    </row>
    <row r="152" spans="1:8" ht="31.5" thickBot="1">
      <c r="A152" s="518" t="s">
        <v>7</v>
      </c>
      <c r="B152" s="575" t="s">
        <v>428</v>
      </c>
      <c r="C152" s="548">
        <f>+C83-C146</f>
        <v>94668780</v>
      </c>
      <c r="D152" s="548">
        <f>+D83-D146</f>
        <v>168057084</v>
      </c>
      <c r="E152" s="548">
        <f>+E83-E146</f>
        <v>192490365</v>
      </c>
      <c r="F152" s="548"/>
      <c r="G152" s="548"/>
      <c r="H152" s="548">
        <f>+H83-H146</f>
        <v>0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/>
  <mergeCells count="9">
    <mergeCell ref="A1:H1"/>
    <mergeCell ref="C88:H88"/>
    <mergeCell ref="A149:E149"/>
    <mergeCell ref="A86:E86"/>
    <mergeCell ref="A88:A89"/>
    <mergeCell ref="B88:B89"/>
    <mergeCell ref="A3:A4"/>
    <mergeCell ref="B3:B4"/>
    <mergeCell ref="C3:H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8" scale="47" r:id="rId1"/>
  <headerFooter alignWithMargins="0">
    <oddHeader>&amp;C&amp;"Times New Roman CE,Félkövér"&amp;12
Nagykáta Város Önkormányzata
2017. ÉVI ZÁRSZÁMADÁSÁNAK PÉNZÜGYI MÉRLEGE&amp;10
&amp;R&amp;"Times New Roman CE,Félkövér dőlt"&amp;11 1.1. melléklet a 4/2018. (V.30.) önkormányzati rendelethez</oddHeader>
  </headerFooter>
  <rowBreaks count="1" manualBreakCount="1">
    <brk id="85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"/>
  <sheetViews>
    <sheetView workbookViewId="0" topLeftCell="A1">
      <selection activeCell="J1" sqref="J1:J19"/>
    </sheetView>
  </sheetViews>
  <sheetFormatPr defaultColWidth="9.375" defaultRowHeight="12.75"/>
  <cols>
    <col min="1" max="1" width="5.50390625" style="8" customWidth="1"/>
    <col min="2" max="2" width="36.75390625" style="8" customWidth="1"/>
    <col min="3" max="8" width="13.7539062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905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2017. december 31-én</v>
      </c>
      <c r="B1" s="906"/>
      <c r="C1" s="906"/>
      <c r="D1" s="906"/>
      <c r="E1" s="906"/>
      <c r="F1" s="906"/>
      <c r="G1" s="906"/>
      <c r="H1" s="906"/>
      <c r="I1" s="906"/>
      <c r="J1" s="902" t="str">
        <f>+CONCATENATE("4. tájékoztató tábla a 4/",LEFT(ÖSSZEFÜGGÉSEK!A4,4)+1,". (V.30.) önkormányzati rendelethez")</f>
        <v>4. tájékoztató tábla a 4/2018. (V.30.) önkormányzati rendelethez</v>
      </c>
    </row>
    <row r="2" spans="8:10" ht="14.25" thickBot="1">
      <c r="H2" s="907" t="s">
        <v>871</v>
      </c>
      <c r="I2" s="907"/>
      <c r="J2" s="902"/>
    </row>
    <row r="3" spans="1:10" ht="13.5" thickBot="1">
      <c r="A3" s="908" t="s">
        <v>4</v>
      </c>
      <c r="B3" s="910" t="s">
        <v>193</v>
      </c>
      <c r="C3" s="912" t="s">
        <v>194</v>
      </c>
      <c r="D3" s="914" t="s">
        <v>195</v>
      </c>
      <c r="E3" s="915"/>
      <c r="F3" s="915"/>
      <c r="G3" s="915"/>
      <c r="H3" s="915"/>
      <c r="I3" s="916" t="s">
        <v>196</v>
      </c>
      <c r="J3" s="902"/>
    </row>
    <row r="4" spans="1:10" s="19" customFormat="1" ht="42" customHeight="1" thickBot="1">
      <c r="A4" s="909"/>
      <c r="B4" s="911"/>
      <c r="C4" s="913"/>
      <c r="D4" s="151" t="s">
        <v>197</v>
      </c>
      <c r="E4" s="151" t="s">
        <v>198</v>
      </c>
      <c r="F4" s="151" t="s">
        <v>199</v>
      </c>
      <c r="G4" s="152" t="s">
        <v>200</v>
      </c>
      <c r="H4" s="152" t="s">
        <v>201</v>
      </c>
      <c r="I4" s="917"/>
      <c r="J4" s="902"/>
    </row>
    <row r="5" spans="1:10" s="19" customFormat="1" ht="12" customHeight="1" thickBot="1">
      <c r="A5" s="404" t="s">
        <v>373</v>
      </c>
      <c r="B5" s="153" t="s">
        <v>374</v>
      </c>
      <c r="C5" s="153" t="s">
        <v>375</v>
      </c>
      <c r="D5" s="153" t="s">
        <v>376</v>
      </c>
      <c r="E5" s="153" t="s">
        <v>377</v>
      </c>
      <c r="F5" s="153" t="s">
        <v>453</v>
      </c>
      <c r="G5" s="153" t="s">
        <v>454</v>
      </c>
      <c r="H5" s="153" t="s">
        <v>532</v>
      </c>
      <c r="I5" s="154" t="s">
        <v>533</v>
      </c>
      <c r="J5" s="902"/>
    </row>
    <row r="6" spans="1:10" s="19" customFormat="1" ht="18" customHeight="1">
      <c r="A6" s="918" t="s">
        <v>202</v>
      </c>
      <c r="B6" s="919"/>
      <c r="C6" s="919"/>
      <c r="D6" s="919"/>
      <c r="E6" s="919"/>
      <c r="F6" s="919"/>
      <c r="G6" s="919"/>
      <c r="H6" s="919"/>
      <c r="I6" s="920"/>
      <c r="J6" s="902"/>
    </row>
    <row r="7" spans="1:10" ht="15.75" customHeight="1">
      <c r="A7" s="32" t="s">
        <v>6</v>
      </c>
      <c r="B7" s="30" t="s">
        <v>203</v>
      </c>
      <c r="C7" s="22"/>
      <c r="D7" s="22"/>
      <c r="E7" s="22"/>
      <c r="F7" s="22"/>
      <c r="G7" s="155"/>
      <c r="H7" s="156">
        <f aca="true" t="shared" si="0" ref="H7:H13">SUM(D7:G7)</f>
        <v>0</v>
      </c>
      <c r="I7" s="33">
        <f aca="true" t="shared" si="1" ref="I7:I13">C7+H7</f>
        <v>0</v>
      </c>
      <c r="J7" s="902"/>
    </row>
    <row r="8" spans="1:10" ht="12.75">
      <c r="A8" s="32" t="s">
        <v>7</v>
      </c>
      <c r="B8" s="30" t="s">
        <v>144</v>
      </c>
      <c r="C8" s="22">
        <v>24433281</v>
      </c>
      <c r="D8" s="22"/>
      <c r="E8" s="22"/>
      <c r="F8" s="22"/>
      <c r="G8" s="155"/>
      <c r="H8" s="156">
        <f t="shared" si="0"/>
        <v>0</v>
      </c>
      <c r="I8" s="33">
        <f t="shared" si="1"/>
        <v>24433281</v>
      </c>
      <c r="J8" s="902"/>
    </row>
    <row r="9" spans="1:10" ht="12.75">
      <c r="A9" s="32" t="s">
        <v>8</v>
      </c>
      <c r="B9" s="30" t="s">
        <v>145</v>
      </c>
      <c r="C9" s="22"/>
      <c r="D9" s="22"/>
      <c r="E9" s="22"/>
      <c r="F9" s="22"/>
      <c r="G9" s="155"/>
      <c r="H9" s="156">
        <f t="shared" si="0"/>
        <v>0</v>
      </c>
      <c r="I9" s="33">
        <f t="shared" si="1"/>
        <v>0</v>
      </c>
      <c r="J9" s="902"/>
    </row>
    <row r="10" spans="1:10" ht="15.75" customHeight="1">
      <c r="A10" s="32" t="s">
        <v>9</v>
      </c>
      <c r="B10" s="30" t="s">
        <v>146</v>
      </c>
      <c r="C10" s="22"/>
      <c r="D10" s="22"/>
      <c r="E10" s="22"/>
      <c r="F10" s="22"/>
      <c r="G10" s="155"/>
      <c r="H10" s="156">
        <f t="shared" si="0"/>
        <v>0</v>
      </c>
      <c r="I10" s="33">
        <f t="shared" si="1"/>
        <v>0</v>
      </c>
      <c r="J10" s="902"/>
    </row>
    <row r="11" spans="1:10" ht="12.75">
      <c r="A11" s="32" t="s">
        <v>10</v>
      </c>
      <c r="B11" s="30" t="s">
        <v>147</v>
      </c>
      <c r="C11" s="22"/>
      <c r="D11" s="22"/>
      <c r="E11" s="22"/>
      <c r="F11" s="22"/>
      <c r="G11" s="155"/>
      <c r="H11" s="156">
        <f t="shared" si="0"/>
        <v>0</v>
      </c>
      <c r="I11" s="33">
        <f t="shared" si="1"/>
        <v>0</v>
      </c>
      <c r="J11" s="902"/>
    </row>
    <row r="12" spans="1:10" ht="15.75" customHeight="1">
      <c r="A12" s="34" t="s">
        <v>11</v>
      </c>
      <c r="B12" s="35" t="s">
        <v>204</v>
      </c>
      <c r="C12" s="23">
        <v>9129810</v>
      </c>
      <c r="D12" s="23"/>
      <c r="E12" s="23"/>
      <c r="F12" s="23"/>
      <c r="G12" s="157"/>
      <c r="H12" s="156">
        <f t="shared" si="0"/>
        <v>0</v>
      </c>
      <c r="I12" s="33">
        <f t="shared" si="1"/>
        <v>9129810</v>
      </c>
      <c r="J12" s="902"/>
    </row>
    <row r="13" spans="1:10" ht="15.75" customHeight="1" thickBot="1">
      <c r="A13" s="158" t="s">
        <v>12</v>
      </c>
      <c r="B13" s="159" t="s">
        <v>205</v>
      </c>
      <c r="C13" s="160">
        <v>9623255</v>
      </c>
      <c r="D13" s="160"/>
      <c r="E13" s="160"/>
      <c r="F13" s="160"/>
      <c r="G13" s="161"/>
      <c r="H13" s="156">
        <f t="shared" si="0"/>
        <v>0</v>
      </c>
      <c r="I13" s="33">
        <f t="shared" si="1"/>
        <v>9623255</v>
      </c>
      <c r="J13" s="902"/>
    </row>
    <row r="14" spans="1:10" s="24" customFormat="1" ht="18" customHeight="1" thickBot="1">
      <c r="A14" s="921" t="s">
        <v>206</v>
      </c>
      <c r="B14" s="922"/>
      <c r="C14" s="36">
        <f aca="true" t="shared" si="2" ref="C14:I14">SUM(C7:C13)</f>
        <v>43186346</v>
      </c>
      <c r="D14" s="36">
        <f>SUM(D7:D13)</f>
        <v>0</v>
      </c>
      <c r="E14" s="36">
        <f t="shared" si="2"/>
        <v>0</v>
      </c>
      <c r="F14" s="36">
        <f t="shared" si="2"/>
        <v>0</v>
      </c>
      <c r="G14" s="162">
        <f t="shared" si="2"/>
        <v>0</v>
      </c>
      <c r="H14" s="162">
        <f t="shared" si="2"/>
        <v>0</v>
      </c>
      <c r="I14" s="37">
        <f t="shared" si="2"/>
        <v>43186346</v>
      </c>
      <c r="J14" s="902"/>
    </row>
    <row r="15" spans="1:10" s="21" customFormat="1" ht="18" customHeight="1">
      <c r="A15" s="923" t="s">
        <v>207</v>
      </c>
      <c r="B15" s="924"/>
      <c r="C15" s="924"/>
      <c r="D15" s="924"/>
      <c r="E15" s="924"/>
      <c r="F15" s="924"/>
      <c r="G15" s="924"/>
      <c r="H15" s="924"/>
      <c r="I15" s="925"/>
      <c r="J15" s="902"/>
    </row>
    <row r="16" spans="1:10" s="21" customFormat="1" ht="12.75">
      <c r="A16" s="32" t="s">
        <v>6</v>
      </c>
      <c r="B16" s="30" t="s">
        <v>208</v>
      </c>
      <c r="C16" s="22"/>
      <c r="D16" s="22"/>
      <c r="E16" s="22"/>
      <c r="F16" s="22"/>
      <c r="G16" s="155"/>
      <c r="H16" s="156">
        <f>SUM(D16:G16)</f>
        <v>0</v>
      </c>
      <c r="I16" s="33">
        <f>C16+H16</f>
        <v>0</v>
      </c>
      <c r="J16" s="902"/>
    </row>
    <row r="17" spans="1:10" ht="13.5" thickBot="1">
      <c r="A17" s="158" t="s">
        <v>7</v>
      </c>
      <c r="B17" s="159" t="s">
        <v>205</v>
      </c>
      <c r="C17" s="160"/>
      <c r="D17" s="160"/>
      <c r="E17" s="160"/>
      <c r="F17" s="160"/>
      <c r="G17" s="161"/>
      <c r="H17" s="156">
        <f>SUM(D17:G17)</f>
        <v>0</v>
      </c>
      <c r="I17" s="163">
        <f>C17+H17</f>
        <v>0</v>
      </c>
      <c r="J17" s="902"/>
    </row>
    <row r="18" spans="1:10" ht="15.75" customHeight="1" thickBot="1">
      <c r="A18" s="921" t="s">
        <v>209</v>
      </c>
      <c r="B18" s="922"/>
      <c r="C18" s="36">
        <f aca="true" t="shared" si="3" ref="C18:I18">SUM(C16:C17)</f>
        <v>0</v>
      </c>
      <c r="D18" s="36">
        <f t="shared" si="3"/>
        <v>0</v>
      </c>
      <c r="E18" s="36">
        <f t="shared" si="3"/>
        <v>0</v>
      </c>
      <c r="F18" s="36">
        <f t="shared" si="3"/>
        <v>0</v>
      </c>
      <c r="G18" s="162">
        <f t="shared" si="3"/>
        <v>0</v>
      </c>
      <c r="H18" s="162">
        <f t="shared" si="3"/>
        <v>0</v>
      </c>
      <c r="I18" s="37">
        <f t="shared" si="3"/>
        <v>0</v>
      </c>
      <c r="J18" s="902"/>
    </row>
    <row r="19" spans="1:10" ht="18" customHeight="1" thickBot="1">
      <c r="A19" s="903" t="s">
        <v>210</v>
      </c>
      <c r="B19" s="904"/>
      <c r="C19" s="164">
        <f aca="true" t="shared" si="4" ref="C19:I19">C14+C18</f>
        <v>43186346</v>
      </c>
      <c r="D19" s="164">
        <f t="shared" si="4"/>
        <v>0</v>
      </c>
      <c r="E19" s="164">
        <f t="shared" si="4"/>
        <v>0</v>
      </c>
      <c r="F19" s="164">
        <f t="shared" si="4"/>
        <v>0</v>
      </c>
      <c r="G19" s="164">
        <f t="shared" si="4"/>
        <v>0</v>
      </c>
      <c r="H19" s="164">
        <f t="shared" si="4"/>
        <v>0</v>
      </c>
      <c r="I19" s="37">
        <f t="shared" si="4"/>
        <v>43186346</v>
      </c>
      <c r="J19" s="902"/>
    </row>
  </sheetData>
  <sheetProtection/>
  <mergeCells count="13"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E11"/>
  <sheetViews>
    <sheetView workbookViewId="0" topLeftCell="A1">
      <selection activeCell="E21" sqref="E21"/>
    </sheetView>
  </sheetViews>
  <sheetFormatPr defaultColWidth="9.375" defaultRowHeight="12.75"/>
  <cols>
    <col min="1" max="1" width="57.625" style="165" customWidth="1"/>
    <col min="2" max="2" width="26.50390625" style="1" customWidth="1"/>
    <col min="3" max="3" width="23.375" style="1" customWidth="1"/>
    <col min="4" max="4" width="22.375" style="1" customWidth="1"/>
    <col min="5" max="5" width="22.125" style="1" customWidth="1"/>
    <col min="6" max="9" width="9.375" style="1" customWidth="1"/>
    <col min="10" max="16384" width="9.375" style="1" customWidth="1"/>
  </cols>
  <sheetData>
    <row r="1" spans="1:5" ht="39" customHeight="1" thickBot="1">
      <c r="A1" s="598" t="s">
        <v>872</v>
      </c>
      <c r="B1" s="599" t="s">
        <v>873</v>
      </c>
      <c r="C1" s="612" t="s">
        <v>874</v>
      </c>
      <c r="D1" s="600" t="s">
        <v>875</v>
      </c>
      <c r="E1" s="600" t="s">
        <v>960</v>
      </c>
    </row>
    <row r="2" spans="1:5" ht="45.75" customHeight="1">
      <c r="A2" s="601" t="s">
        <v>876</v>
      </c>
      <c r="B2" s="602" t="s">
        <v>713</v>
      </c>
      <c r="C2" s="602" t="s">
        <v>713</v>
      </c>
      <c r="D2" s="603" t="s">
        <v>713</v>
      </c>
      <c r="E2" s="603" t="s">
        <v>713</v>
      </c>
    </row>
    <row r="3" spans="1:5" ht="45.75" customHeight="1">
      <c r="A3" s="604" t="s">
        <v>877</v>
      </c>
      <c r="B3" s="605" t="s">
        <v>713</v>
      </c>
      <c r="C3" s="605" t="s">
        <v>713</v>
      </c>
      <c r="D3" s="606" t="s">
        <v>713</v>
      </c>
      <c r="E3" s="606" t="s">
        <v>713</v>
      </c>
    </row>
    <row r="4" spans="1:5" ht="52.5" customHeight="1">
      <c r="A4" s="607" t="s">
        <v>878</v>
      </c>
      <c r="B4" s="605" t="s">
        <v>713</v>
      </c>
      <c r="C4" s="605" t="s">
        <v>713</v>
      </c>
      <c r="D4" s="606" t="s">
        <v>713</v>
      </c>
      <c r="E4" s="606" t="s">
        <v>713</v>
      </c>
    </row>
    <row r="5" spans="1:5" ht="44.25" customHeight="1">
      <c r="A5" s="613" t="s">
        <v>879</v>
      </c>
      <c r="B5" s="605">
        <v>728</v>
      </c>
      <c r="C5" s="614" t="s">
        <v>880</v>
      </c>
      <c r="D5" s="597">
        <v>9859</v>
      </c>
      <c r="E5" s="597">
        <v>0</v>
      </c>
    </row>
    <row r="6" spans="1:5" ht="36" customHeight="1">
      <c r="A6" s="613" t="s">
        <v>881</v>
      </c>
      <c r="B6" s="605">
        <v>0</v>
      </c>
      <c r="C6" s="614" t="s">
        <v>713</v>
      </c>
      <c r="D6" s="597">
        <v>0</v>
      </c>
      <c r="E6" s="597">
        <v>0</v>
      </c>
    </row>
    <row r="7" spans="1:5" ht="24.75" customHeight="1">
      <c r="A7" s="613" t="s">
        <v>882</v>
      </c>
      <c r="B7" s="605">
        <v>384</v>
      </c>
      <c r="C7" s="614" t="s">
        <v>883</v>
      </c>
      <c r="D7" s="597">
        <v>4305</v>
      </c>
      <c r="E7" s="597">
        <v>0</v>
      </c>
    </row>
    <row r="8" spans="1:5" ht="24.75" customHeight="1">
      <c r="A8" s="613" t="s">
        <v>884</v>
      </c>
      <c r="B8" s="605">
        <v>248</v>
      </c>
      <c r="C8" s="614" t="s">
        <v>883</v>
      </c>
      <c r="D8" s="597">
        <v>2681</v>
      </c>
      <c r="E8" s="597">
        <v>0</v>
      </c>
    </row>
    <row r="9" spans="1:5" ht="24.75" customHeight="1">
      <c r="A9" s="607" t="s">
        <v>885</v>
      </c>
      <c r="B9" s="605"/>
      <c r="C9" s="605"/>
      <c r="D9" s="606"/>
      <c r="E9" s="606"/>
    </row>
    <row r="10" spans="1:5" ht="44.25" customHeight="1">
      <c r="A10" s="608" t="s">
        <v>886</v>
      </c>
      <c r="B10" s="605" t="s">
        <v>713</v>
      </c>
      <c r="C10" s="605" t="s">
        <v>713</v>
      </c>
      <c r="D10" s="606" t="s">
        <v>713</v>
      </c>
      <c r="E10" s="606"/>
    </row>
    <row r="11" spans="1:5" ht="24.75" customHeight="1" thickBot="1">
      <c r="A11" s="609" t="s">
        <v>887</v>
      </c>
      <c r="B11" s="610" t="s">
        <v>713</v>
      </c>
      <c r="C11" s="610" t="s">
        <v>713</v>
      </c>
      <c r="D11" s="611" t="s">
        <v>713</v>
      </c>
      <c r="E11" s="611" t="s">
        <v>713</v>
      </c>
    </row>
  </sheetData>
  <sheetProtection/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landscape" paperSize="9" scale="8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4/2018. (V.30.)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2:D27"/>
  <sheetViews>
    <sheetView workbookViewId="0" topLeftCell="A1">
      <selection activeCell="L14" sqref="L14"/>
    </sheetView>
  </sheetViews>
  <sheetFormatPr defaultColWidth="9.375" defaultRowHeight="12.75"/>
  <cols>
    <col min="1" max="1" width="11.50390625" style="8" customWidth="1"/>
    <col min="2" max="2" width="51.00390625" style="8" customWidth="1"/>
    <col min="3" max="3" width="42.375" style="8" customWidth="1"/>
    <col min="4" max="4" width="22.625" style="8" customWidth="1"/>
    <col min="5" max="16384" width="9.375" style="8" customWidth="1"/>
  </cols>
  <sheetData>
    <row r="1" ht="13.5" thickBot="1"/>
    <row r="2" spans="1:4" ht="42.75" customHeight="1">
      <c r="A2" s="627" t="s">
        <v>214</v>
      </c>
      <c r="B2" s="628" t="s">
        <v>891</v>
      </c>
      <c r="C2" s="628" t="s">
        <v>892</v>
      </c>
      <c r="D2" s="627" t="s">
        <v>893</v>
      </c>
    </row>
    <row r="3" spans="1:4" ht="15">
      <c r="A3" s="626" t="s">
        <v>894</v>
      </c>
      <c r="B3" s="618" t="s">
        <v>895</v>
      </c>
      <c r="C3" s="615" t="s">
        <v>896</v>
      </c>
      <c r="D3" s="623">
        <v>30000</v>
      </c>
    </row>
    <row r="4" spans="1:4" ht="15.75" customHeight="1">
      <c r="A4" s="616" t="s">
        <v>7</v>
      </c>
      <c r="B4" s="617" t="s">
        <v>889</v>
      </c>
      <c r="C4" s="617" t="s">
        <v>897</v>
      </c>
      <c r="D4" s="620">
        <v>140000</v>
      </c>
    </row>
    <row r="5" spans="1:4" ht="15.75" customHeight="1">
      <c r="A5" s="616" t="s">
        <v>8</v>
      </c>
      <c r="B5" s="617" t="s">
        <v>890</v>
      </c>
      <c r="C5" s="617" t="s">
        <v>898</v>
      </c>
      <c r="D5" s="620">
        <v>100000</v>
      </c>
    </row>
    <row r="6" spans="1:4" ht="15.75" customHeight="1">
      <c r="A6" s="626" t="s">
        <v>117</v>
      </c>
      <c r="B6" s="615" t="s">
        <v>899</v>
      </c>
      <c r="C6" s="617" t="s">
        <v>900</v>
      </c>
      <c r="D6" s="620">
        <v>100000</v>
      </c>
    </row>
    <row r="7" spans="1:4" ht="15.75" customHeight="1">
      <c r="A7" s="616" t="s">
        <v>929</v>
      </c>
      <c r="B7" s="617" t="s">
        <v>901</v>
      </c>
      <c r="C7" s="617" t="s">
        <v>902</v>
      </c>
      <c r="D7" s="621">
        <v>100000</v>
      </c>
    </row>
    <row r="8" spans="1:4" ht="15">
      <c r="A8" s="616" t="s">
        <v>903</v>
      </c>
      <c r="B8" s="617" t="s">
        <v>904</v>
      </c>
      <c r="C8" s="617" t="s">
        <v>905</v>
      </c>
      <c r="D8" s="621">
        <v>400000</v>
      </c>
    </row>
    <row r="9" spans="1:4" ht="15.75" customHeight="1">
      <c r="A9" s="626" t="s">
        <v>124</v>
      </c>
      <c r="B9" s="617" t="s">
        <v>906</v>
      </c>
      <c r="C9" s="617" t="s">
        <v>907</v>
      </c>
      <c r="D9" s="621">
        <v>200000</v>
      </c>
    </row>
    <row r="10" spans="1:4" ht="15.75" customHeight="1">
      <c r="A10" s="616" t="s">
        <v>930</v>
      </c>
      <c r="B10" s="617" t="s">
        <v>901</v>
      </c>
      <c r="C10" s="617" t="s">
        <v>908</v>
      </c>
      <c r="D10" s="621">
        <v>150000</v>
      </c>
    </row>
    <row r="11" spans="1:4" ht="15.75" customHeight="1">
      <c r="A11" s="616" t="s">
        <v>931</v>
      </c>
      <c r="B11" s="617" t="s">
        <v>909</v>
      </c>
      <c r="C11" s="617" t="s">
        <v>910</v>
      </c>
      <c r="D11" s="621">
        <v>200000</v>
      </c>
    </row>
    <row r="12" spans="1:4" ht="15.75" customHeight="1">
      <c r="A12" s="626" t="s">
        <v>932</v>
      </c>
      <c r="B12" s="617" t="s">
        <v>888</v>
      </c>
      <c r="C12" s="617" t="s">
        <v>911</v>
      </c>
      <c r="D12" s="621">
        <v>50000</v>
      </c>
    </row>
    <row r="13" spans="1:4" ht="15.75" customHeight="1">
      <c r="A13" s="616" t="s">
        <v>933</v>
      </c>
      <c r="B13" s="615" t="s">
        <v>899</v>
      </c>
      <c r="C13" s="615" t="s">
        <v>912</v>
      </c>
      <c r="D13" s="621">
        <v>120000</v>
      </c>
    </row>
    <row r="14" spans="1:4" ht="15.75" customHeight="1">
      <c r="A14" s="616" t="s">
        <v>934</v>
      </c>
      <c r="B14" s="618" t="s">
        <v>913</v>
      </c>
      <c r="C14" s="615" t="s">
        <v>914</v>
      </c>
      <c r="D14" s="622">
        <v>50000</v>
      </c>
    </row>
    <row r="15" spans="1:4" ht="15.75" customHeight="1">
      <c r="A15" s="626" t="s">
        <v>935</v>
      </c>
      <c r="B15" s="618" t="s">
        <v>915</v>
      </c>
      <c r="C15" s="615" t="s">
        <v>916</v>
      </c>
      <c r="D15" s="623">
        <v>25000</v>
      </c>
    </row>
    <row r="16" spans="1:4" ht="15.75" customHeight="1">
      <c r="A16" s="616" t="s">
        <v>936</v>
      </c>
      <c r="B16" s="617" t="s">
        <v>888</v>
      </c>
      <c r="C16" s="617" t="s">
        <v>917</v>
      </c>
      <c r="D16" s="624">
        <v>2000000</v>
      </c>
    </row>
    <row r="17" spans="1:4" ht="15.75" customHeight="1">
      <c r="A17" s="616" t="s">
        <v>937</v>
      </c>
      <c r="B17" s="617" t="s">
        <v>888</v>
      </c>
      <c r="C17" s="617" t="s">
        <v>918</v>
      </c>
      <c r="D17" s="624">
        <v>3000000</v>
      </c>
    </row>
    <row r="18" spans="1:4" ht="15.75" customHeight="1">
      <c r="A18" s="626" t="s">
        <v>938</v>
      </c>
      <c r="B18" s="617" t="s">
        <v>919</v>
      </c>
      <c r="C18" s="617"/>
      <c r="D18" s="624">
        <v>2500000</v>
      </c>
    </row>
    <row r="19" spans="1:4" ht="15.75" customHeight="1">
      <c r="A19" s="616" t="s">
        <v>939</v>
      </c>
      <c r="B19" s="619" t="s">
        <v>920</v>
      </c>
      <c r="C19" s="619" t="s">
        <v>947</v>
      </c>
      <c r="D19" s="621">
        <v>4000000</v>
      </c>
    </row>
    <row r="20" spans="1:4" ht="15.75" customHeight="1">
      <c r="A20" s="616" t="s">
        <v>940</v>
      </c>
      <c r="B20" s="619" t="s">
        <v>921</v>
      </c>
      <c r="C20" s="619" t="s">
        <v>947</v>
      </c>
      <c r="D20" s="621">
        <v>300000</v>
      </c>
    </row>
    <row r="21" spans="1:4" ht="15.75" customHeight="1">
      <c r="A21" s="626" t="s">
        <v>941</v>
      </c>
      <c r="B21" s="619" t="s">
        <v>922</v>
      </c>
      <c r="C21" s="619" t="s">
        <v>947</v>
      </c>
      <c r="D21" s="621">
        <v>300000</v>
      </c>
    </row>
    <row r="22" spans="1:4" ht="15.75" customHeight="1">
      <c r="A22" s="616" t="s">
        <v>942</v>
      </c>
      <c r="B22" s="619" t="s">
        <v>923</v>
      </c>
      <c r="C22" s="619" t="s">
        <v>947</v>
      </c>
      <c r="D22" s="621">
        <v>400000</v>
      </c>
    </row>
    <row r="23" spans="1:4" ht="15.75" customHeight="1">
      <c r="A23" s="616" t="s">
        <v>943</v>
      </c>
      <c r="B23" s="619" t="s">
        <v>924</v>
      </c>
      <c r="C23" s="619" t="s">
        <v>947</v>
      </c>
      <c r="D23" s="621">
        <v>300000</v>
      </c>
    </row>
    <row r="24" spans="1:4" ht="15.75" customHeight="1">
      <c r="A24" s="626" t="s">
        <v>944</v>
      </c>
      <c r="B24" s="619" t="s">
        <v>925</v>
      </c>
      <c r="C24" s="619" t="s">
        <v>947</v>
      </c>
      <c r="D24" s="621">
        <v>500000</v>
      </c>
    </row>
    <row r="25" spans="1:4" ht="15.75" customHeight="1">
      <c r="A25" s="616" t="s">
        <v>945</v>
      </c>
      <c r="B25" s="619" t="s">
        <v>926</v>
      </c>
      <c r="C25" s="619" t="s">
        <v>947</v>
      </c>
      <c r="D25" s="621">
        <v>700000</v>
      </c>
    </row>
    <row r="26" spans="1:4" ht="15.75" customHeight="1">
      <c r="A26" s="616" t="s">
        <v>946</v>
      </c>
      <c r="B26" s="619" t="s">
        <v>927</v>
      </c>
      <c r="C26" s="625" t="s">
        <v>928</v>
      </c>
      <c r="D26" s="621">
        <v>925000</v>
      </c>
    </row>
    <row r="27" spans="1:4" ht="15.75" customHeight="1" thickBot="1">
      <c r="A27" s="926" t="s">
        <v>870</v>
      </c>
      <c r="B27" s="927"/>
      <c r="C27" s="927"/>
      <c r="D27" s="629">
        <f>SUM(D3:D26)</f>
        <v>16590000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1">
    <mergeCell ref="A27:C27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landscape" paperSize="9" scale="90" r:id="rId1"/>
  <headerFooter alignWithMargins="0">
    <oddHeader>&amp;C&amp;"Times New Roman CE,Félkövér"&amp;12
K I M U T A T Á S
a 2017. évi céljelleggel juttatott támogatások felhasználásáról&amp;R&amp;"Times New Roman CE,Félkövér dőlt"&amp;11 6. tájékoztató tábla a 4/2018. (V.30.)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P74"/>
  <sheetViews>
    <sheetView zoomScaleSheetLayoutView="120" workbookViewId="0" topLeftCell="C1">
      <selection activeCell="I22" sqref="I22"/>
    </sheetView>
  </sheetViews>
  <sheetFormatPr defaultColWidth="12.00390625" defaultRowHeight="12.75"/>
  <cols>
    <col min="1" max="1" width="67.125" style="418" customWidth="1"/>
    <col min="2" max="2" width="6.125" style="419" customWidth="1"/>
    <col min="3" max="3" width="21.625" style="418" customWidth="1"/>
    <col min="4" max="4" width="16.125" style="418" customWidth="1"/>
    <col min="5" max="5" width="14.00390625" style="418" customWidth="1"/>
    <col min="6" max="6" width="15.625" style="418" customWidth="1"/>
    <col min="7" max="7" width="14.00390625" style="418" customWidth="1"/>
    <col min="8" max="8" width="15.375" style="418" customWidth="1"/>
    <col min="9" max="9" width="16.75390625" style="418" customWidth="1"/>
    <col min="10" max="10" width="17.625" style="418" customWidth="1"/>
    <col min="11" max="11" width="16.75390625" style="418" customWidth="1"/>
    <col min="12" max="12" width="19.00390625" style="418" customWidth="1"/>
    <col min="13" max="13" width="16.50390625" style="418" customWidth="1"/>
    <col min="14" max="14" width="16.00390625" style="418" customWidth="1"/>
    <col min="15" max="15" width="16.375" style="418" customWidth="1"/>
    <col min="16" max="16" width="16.125" style="418" customWidth="1"/>
    <col min="17" max="16384" width="12.00390625" style="418" customWidth="1"/>
  </cols>
  <sheetData>
    <row r="1" spans="1:16" ht="49.5" customHeight="1">
      <c r="A1" s="928" t="str">
        <f>+CONCATENATE("VAGYONKIMUTATÁS",CHAR(10),"a könyvviteli mérlegben értékkel szereplő eszközökről",CHAR(10),LEFT(ÖSSZEFÜGGÉSEK!A4,4),".")</f>
        <v>VAGYONKIMUTATÁS
a könyvviteli mérlegben értékkel szereplő eszközökről
2017.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</row>
    <row r="2" spans="3:16" ht="15.75" thickBot="1"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 t="s">
        <v>702</v>
      </c>
      <c r="P2" s="936"/>
    </row>
    <row r="3" spans="1:16" s="638" customFormat="1" ht="39" customHeight="1" thickBot="1">
      <c r="A3" s="929" t="s">
        <v>213</v>
      </c>
      <c r="B3" s="691"/>
      <c r="C3" s="932" t="s">
        <v>695</v>
      </c>
      <c r="D3" s="933"/>
      <c r="E3" s="932" t="s">
        <v>676</v>
      </c>
      <c r="F3" s="933"/>
      <c r="G3" s="932" t="s">
        <v>961</v>
      </c>
      <c r="H3" s="933"/>
      <c r="I3" s="932" t="s">
        <v>962</v>
      </c>
      <c r="J3" s="933"/>
      <c r="K3" s="932" t="s">
        <v>857</v>
      </c>
      <c r="L3" s="933"/>
      <c r="M3" s="932" t="s">
        <v>963</v>
      </c>
      <c r="N3" s="933"/>
      <c r="O3" s="934" t="s">
        <v>856</v>
      </c>
      <c r="P3" s="935"/>
    </row>
    <row r="4" spans="1:16" ht="15.75" customHeight="1">
      <c r="A4" s="930"/>
      <c r="B4" s="950" t="s">
        <v>214</v>
      </c>
      <c r="C4" s="941" t="s">
        <v>215</v>
      </c>
      <c r="D4" s="943" t="s">
        <v>216</v>
      </c>
      <c r="E4" s="941" t="s">
        <v>215</v>
      </c>
      <c r="F4" s="943" t="s">
        <v>216</v>
      </c>
      <c r="G4" s="941" t="s">
        <v>215</v>
      </c>
      <c r="H4" s="943" t="s">
        <v>216</v>
      </c>
      <c r="I4" s="941" t="s">
        <v>215</v>
      </c>
      <c r="J4" s="943" t="s">
        <v>216</v>
      </c>
      <c r="K4" s="941" t="s">
        <v>215</v>
      </c>
      <c r="L4" s="943" t="s">
        <v>216</v>
      </c>
      <c r="M4" s="941" t="s">
        <v>215</v>
      </c>
      <c r="N4" s="943" t="s">
        <v>216</v>
      </c>
      <c r="O4" s="945" t="s">
        <v>215</v>
      </c>
      <c r="P4" s="947" t="s">
        <v>216</v>
      </c>
    </row>
    <row r="5" spans="1:16" ht="11.25" customHeight="1" thickBot="1">
      <c r="A5" s="930"/>
      <c r="B5" s="950"/>
      <c r="C5" s="942"/>
      <c r="D5" s="944"/>
      <c r="E5" s="942"/>
      <c r="F5" s="944"/>
      <c r="G5" s="942"/>
      <c r="H5" s="944"/>
      <c r="I5" s="942"/>
      <c r="J5" s="944"/>
      <c r="K5" s="942"/>
      <c r="L5" s="944"/>
      <c r="M5" s="942"/>
      <c r="N5" s="944"/>
      <c r="O5" s="946"/>
      <c r="P5" s="948"/>
    </row>
    <row r="6" spans="1:16" ht="15">
      <c r="A6" s="931"/>
      <c r="B6" s="951"/>
      <c r="C6" s="937" t="s">
        <v>217</v>
      </c>
      <c r="D6" s="938"/>
      <c r="E6" s="937" t="s">
        <v>217</v>
      </c>
      <c r="F6" s="938"/>
      <c r="G6" s="937" t="s">
        <v>217</v>
      </c>
      <c r="H6" s="938"/>
      <c r="I6" s="937" t="s">
        <v>217</v>
      </c>
      <c r="J6" s="938"/>
      <c r="K6" s="937" t="s">
        <v>217</v>
      </c>
      <c r="L6" s="938"/>
      <c r="M6" s="937" t="s">
        <v>217</v>
      </c>
      <c r="N6" s="938"/>
      <c r="O6" s="939" t="s">
        <v>217</v>
      </c>
      <c r="P6" s="940"/>
    </row>
    <row r="7" spans="1:16" s="422" customFormat="1" ht="15.75" thickBot="1">
      <c r="A7" s="420" t="s">
        <v>596</v>
      </c>
      <c r="B7" s="692" t="s">
        <v>374</v>
      </c>
      <c r="C7" s="420" t="s">
        <v>375</v>
      </c>
      <c r="D7" s="421" t="s">
        <v>376</v>
      </c>
      <c r="E7" s="420" t="s">
        <v>375</v>
      </c>
      <c r="F7" s="421" t="s">
        <v>376</v>
      </c>
      <c r="G7" s="420" t="s">
        <v>375</v>
      </c>
      <c r="H7" s="421" t="s">
        <v>376</v>
      </c>
      <c r="I7" s="420" t="s">
        <v>375</v>
      </c>
      <c r="J7" s="421" t="s">
        <v>376</v>
      </c>
      <c r="K7" s="420" t="s">
        <v>375</v>
      </c>
      <c r="L7" s="421" t="s">
        <v>376</v>
      </c>
      <c r="M7" s="420" t="s">
        <v>375</v>
      </c>
      <c r="N7" s="421" t="s">
        <v>376</v>
      </c>
      <c r="O7" s="712" t="s">
        <v>375</v>
      </c>
      <c r="P7" s="674" t="s">
        <v>376</v>
      </c>
    </row>
    <row r="8" spans="1:16" s="424" customFormat="1" ht="15">
      <c r="A8" s="423" t="s">
        <v>534</v>
      </c>
      <c r="B8" s="693" t="s">
        <v>218</v>
      </c>
      <c r="C8" s="698">
        <v>283464</v>
      </c>
      <c r="D8" s="678">
        <v>100722</v>
      </c>
      <c r="E8" s="698">
        <v>24399774</v>
      </c>
      <c r="F8" s="678">
        <v>3559428</v>
      </c>
      <c r="G8" s="698"/>
      <c r="H8" s="678"/>
      <c r="I8" s="698">
        <v>1509123</v>
      </c>
      <c r="J8" s="678">
        <v>0</v>
      </c>
      <c r="K8" s="698">
        <v>6372790</v>
      </c>
      <c r="L8" s="678">
        <v>0</v>
      </c>
      <c r="M8" s="698">
        <v>450000</v>
      </c>
      <c r="N8" s="678">
        <v>0</v>
      </c>
      <c r="O8" s="713">
        <f>C8+E8+G8+I8+K8+M8</f>
        <v>33015151</v>
      </c>
      <c r="P8" s="676">
        <f>D8+F8+H8+J8+L8+N8</f>
        <v>3660150</v>
      </c>
    </row>
    <row r="9" spans="1:16" s="424" customFormat="1" ht="15">
      <c r="A9" s="425" t="s">
        <v>535</v>
      </c>
      <c r="B9" s="694" t="s">
        <v>219</v>
      </c>
      <c r="C9" s="699">
        <f>+C10+C15+C20+C25+C30</f>
        <v>14800433330</v>
      </c>
      <c r="D9" s="679">
        <f>+D10+D15+D20+D25+D30</f>
        <v>11823545413</v>
      </c>
      <c r="E9" s="699">
        <f aca="true" t="shared" si="0" ref="E9:N9">+E10+E15+E20+E25+E30</f>
        <v>112735552</v>
      </c>
      <c r="F9" s="679">
        <f t="shared" si="0"/>
        <v>24364861</v>
      </c>
      <c r="G9" s="699">
        <f t="shared" si="0"/>
        <v>9633417</v>
      </c>
      <c r="H9" s="679">
        <f t="shared" si="0"/>
        <v>2619078</v>
      </c>
      <c r="I9" s="699">
        <f t="shared" si="0"/>
        <v>160939702</v>
      </c>
      <c r="J9" s="679">
        <f t="shared" si="0"/>
        <v>36205188</v>
      </c>
      <c r="K9" s="699">
        <f t="shared" si="0"/>
        <v>54350443</v>
      </c>
      <c r="L9" s="679">
        <f t="shared" si="0"/>
        <v>100000</v>
      </c>
      <c r="M9" s="699">
        <f t="shared" si="0"/>
        <v>9353666</v>
      </c>
      <c r="N9" s="679">
        <f t="shared" si="0"/>
        <v>0</v>
      </c>
      <c r="O9" s="714">
        <f aca="true" t="shared" si="1" ref="O9:O69">C9+E9+G9+I9+K9+M9</f>
        <v>15147446110</v>
      </c>
      <c r="P9" s="677">
        <f aca="true" t="shared" si="2" ref="P9:P69">D9+F9+H9+J9+L9+N9</f>
        <v>11886834540</v>
      </c>
    </row>
    <row r="10" spans="1:16" s="424" customFormat="1" ht="15">
      <c r="A10" s="425" t="s">
        <v>536</v>
      </c>
      <c r="B10" s="694" t="s">
        <v>220</v>
      </c>
      <c r="C10" s="700">
        <f>SUM(C11:C14)</f>
        <v>14108159470</v>
      </c>
      <c r="D10" s="681">
        <f>SUM(D11:D14)</f>
        <v>11594958136</v>
      </c>
      <c r="E10" s="700">
        <f aca="true" t="shared" si="3" ref="E10:L10">SUM(E11:E14)</f>
        <v>0</v>
      </c>
      <c r="F10" s="681">
        <f t="shared" si="3"/>
        <v>0</v>
      </c>
      <c r="G10" s="700">
        <f t="shared" si="3"/>
        <v>0</v>
      </c>
      <c r="H10" s="681">
        <f t="shared" si="3"/>
        <v>0</v>
      </c>
      <c r="I10" s="700">
        <f t="shared" si="3"/>
        <v>24373381</v>
      </c>
      <c r="J10" s="681">
        <f t="shared" si="3"/>
        <v>21637174</v>
      </c>
      <c r="K10" s="700">
        <f t="shared" si="3"/>
        <v>0</v>
      </c>
      <c r="L10" s="681">
        <f t="shared" si="3"/>
        <v>0</v>
      </c>
      <c r="M10" s="700"/>
      <c r="N10" s="681"/>
      <c r="O10" s="715">
        <f t="shared" si="1"/>
        <v>14132532851</v>
      </c>
      <c r="P10" s="682">
        <f t="shared" si="2"/>
        <v>11616595310</v>
      </c>
    </row>
    <row r="11" spans="1:16" s="424" customFormat="1" ht="15">
      <c r="A11" s="426" t="s">
        <v>537</v>
      </c>
      <c r="B11" s="694" t="s">
        <v>221</v>
      </c>
      <c r="C11" s="701">
        <f>4570586782+92693333</f>
        <v>4663280115</v>
      </c>
      <c r="D11" s="680">
        <f>3690927076+92693333-259905823</f>
        <v>3523714586</v>
      </c>
      <c r="E11" s="701"/>
      <c r="F11" s="680"/>
      <c r="G11" s="701"/>
      <c r="H11" s="680"/>
      <c r="I11" s="701"/>
      <c r="J11" s="680"/>
      <c r="K11" s="701"/>
      <c r="L11" s="680"/>
      <c r="M11" s="701"/>
      <c r="N11" s="680"/>
      <c r="O11" s="716">
        <f t="shared" si="1"/>
        <v>4663280115</v>
      </c>
      <c r="P11" s="675">
        <f t="shared" si="2"/>
        <v>3523714586</v>
      </c>
    </row>
    <row r="12" spans="1:16" s="424" customFormat="1" ht="26.25" customHeight="1">
      <c r="A12" s="426" t="s">
        <v>538</v>
      </c>
      <c r="B12" s="694" t="s">
        <v>222</v>
      </c>
      <c r="C12" s="702"/>
      <c r="D12" s="167"/>
      <c r="E12" s="702"/>
      <c r="F12" s="167"/>
      <c r="G12" s="702"/>
      <c r="H12" s="167"/>
      <c r="I12" s="702"/>
      <c r="J12" s="167"/>
      <c r="K12" s="702"/>
      <c r="L12" s="167"/>
      <c r="M12" s="702"/>
      <c r="N12" s="167"/>
      <c r="O12" s="716">
        <f t="shared" si="1"/>
        <v>0</v>
      </c>
      <c r="P12" s="675">
        <f t="shared" si="2"/>
        <v>0</v>
      </c>
    </row>
    <row r="13" spans="1:16" s="424" customFormat="1" ht="15">
      <c r="A13" s="426" t="s">
        <v>539</v>
      </c>
      <c r="B13" s="694" t="s">
        <v>223</v>
      </c>
      <c r="C13" s="702">
        <v>6584880759</v>
      </c>
      <c r="D13" s="167">
        <v>5810803953</v>
      </c>
      <c r="E13" s="702"/>
      <c r="F13" s="167"/>
      <c r="G13" s="702"/>
      <c r="H13" s="167"/>
      <c r="I13" s="702">
        <v>24373381</v>
      </c>
      <c r="J13" s="167">
        <v>21637174</v>
      </c>
      <c r="K13" s="702"/>
      <c r="L13" s="167"/>
      <c r="M13" s="702"/>
      <c r="N13" s="167"/>
      <c r="O13" s="716">
        <f t="shared" si="1"/>
        <v>6609254140</v>
      </c>
      <c r="P13" s="675">
        <f t="shared" si="2"/>
        <v>5832441127</v>
      </c>
    </row>
    <row r="14" spans="1:16" s="424" customFormat="1" ht="15">
      <c r="A14" s="426" t="s">
        <v>540</v>
      </c>
      <c r="B14" s="694" t="s">
        <v>224</v>
      </c>
      <c r="C14" s="702">
        <v>2859998596</v>
      </c>
      <c r="D14" s="167">
        <v>2260439597</v>
      </c>
      <c r="E14" s="702"/>
      <c r="F14" s="167"/>
      <c r="G14" s="702"/>
      <c r="H14" s="167"/>
      <c r="I14" s="702"/>
      <c r="J14" s="167"/>
      <c r="K14" s="702"/>
      <c r="L14" s="167"/>
      <c r="M14" s="702"/>
      <c r="N14" s="167"/>
      <c r="O14" s="716">
        <f t="shared" si="1"/>
        <v>2859998596</v>
      </c>
      <c r="P14" s="675">
        <f t="shared" si="2"/>
        <v>2260439597</v>
      </c>
    </row>
    <row r="15" spans="1:16" s="424" customFormat="1" ht="15">
      <c r="A15" s="425" t="s">
        <v>541</v>
      </c>
      <c r="B15" s="694" t="s">
        <v>225</v>
      </c>
      <c r="C15" s="700">
        <f>+C16+C17+C18+C19</f>
        <v>669525058</v>
      </c>
      <c r="D15" s="681">
        <f>+D16+D17+D18+D19</f>
        <v>205838475</v>
      </c>
      <c r="E15" s="700">
        <f aca="true" t="shared" si="4" ref="E15:N15">+E16+E17+E18+E19</f>
        <v>112735552</v>
      </c>
      <c r="F15" s="681">
        <f t="shared" si="4"/>
        <v>24364861</v>
      </c>
      <c r="G15" s="700">
        <f t="shared" si="4"/>
        <v>9633417</v>
      </c>
      <c r="H15" s="681">
        <f t="shared" si="4"/>
        <v>2619078</v>
      </c>
      <c r="I15" s="700">
        <f t="shared" si="4"/>
        <v>136566321</v>
      </c>
      <c r="J15" s="681">
        <f t="shared" si="4"/>
        <v>14568014</v>
      </c>
      <c r="K15" s="700">
        <f t="shared" si="4"/>
        <v>54350443</v>
      </c>
      <c r="L15" s="681">
        <f t="shared" si="4"/>
        <v>100000</v>
      </c>
      <c r="M15" s="700">
        <f t="shared" si="4"/>
        <v>9353666</v>
      </c>
      <c r="N15" s="681">
        <f t="shared" si="4"/>
        <v>0</v>
      </c>
      <c r="O15" s="715">
        <f t="shared" si="1"/>
        <v>992164457</v>
      </c>
      <c r="P15" s="682">
        <f t="shared" si="2"/>
        <v>247490428</v>
      </c>
    </row>
    <row r="16" spans="1:16" s="424" customFormat="1" ht="15">
      <c r="A16" s="426" t="s">
        <v>542</v>
      </c>
      <c r="B16" s="694" t="s">
        <v>226</v>
      </c>
      <c r="C16" s="702">
        <f>7986100+35322436</f>
        <v>43308536</v>
      </c>
      <c r="D16" s="167">
        <f>1000000+22756002</f>
        <v>23756002</v>
      </c>
      <c r="E16" s="702">
        <v>7986100</v>
      </c>
      <c r="F16" s="167">
        <v>1000000</v>
      </c>
      <c r="G16" s="702"/>
      <c r="H16" s="167"/>
      <c r="I16" s="702"/>
      <c r="J16" s="167"/>
      <c r="K16" s="702"/>
      <c r="L16" s="167"/>
      <c r="M16" s="702"/>
      <c r="N16" s="167"/>
      <c r="O16" s="716">
        <f t="shared" si="1"/>
        <v>51294636</v>
      </c>
      <c r="P16" s="675">
        <f t="shared" si="2"/>
        <v>24756002</v>
      </c>
    </row>
    <row r="17" spans="1:16" s="424" customFormat="1" ht="20.25">
      <c r="A17" s="426" t="s">
        <v>543</v>
      </c>
      <c r="B17" s="694" t="s">
        <v>15</v>
      </c>
      <c r="C17" s="702"/>
      <c r="D17" s="167"/>
      <c r="E17" s="702"/>
      <c r="F17" s="167"/>
      <c r="G17" s="702"/>
      <c r="H17" s="167"/>
      <c r="I17" s="702"/>
      <c r="J17" s="167"/>
      <c r="K17" s="702"/>
      <c r="L17" s="167"/>
      <c r="M17" s="702"/>
      <c r="N17" s="167"/>
      <c r="O17" s="716">
        <f t="shared" si="1"/>
        <v>0</v>
      </c>
      <c r="P17" s="675">
        <f t="shared" si="2"/>
        <v>0</v>
      </c>
    </row>
    <row r="18" spans="1:16" s="424" customFormat="1" ht="15">
      <c r="A18" s="426" t="s">
        <v>544</v>
      </c>
      <c r="B18" s="694" t="s">
        <v>16</v>
      </c>
      <c r="C18" s="702">
        <v>508141180</v>
      </c>
      <c r="D18" s="167">
        <f>259353838-136893081</f>
        <v>122460757</v>
      </c>
      <c r="E18" s="702">
        <v>44688821</v>
      </c>
      <c r="F18" s="167">
        <v>23093866</v>
      </c>
      <c r="G18" s="702">
        <v>8595786</v>
      </c>
      <c r="H18" s="167">
        <v>2619078</v>
      </c>
      <c r="I18" s="702"/>
      <c r="J18" s="167"/>
      <c r="K18" s="702"/>
      <c r="L18" s="167"/>
      <c r="M18" s="702"/>
      <c r="N18" s="167"/>
      <c r="O18" s="716">
        <f t="shared" si="1"/>
        <v>561425787</v>
      </c>
      <c r="P18" s="675">
        <f t="shared" si="2"/>
        <v>148173701</v>
      </c>
    </row>
    <row r="19" spans="1:16" s="424" customFormat="1" ht="15">
      <c r="A19" s="426" t="s">
        <v>545</v>
      </c>
      <c r="B19" s="694" t="s">
        <v>17</v>
      </c>
      <c r="C19" s="702">
        <v>118075342</v>
      </c>
      <c r="D19" s="167">
        <v>59621716</v>
      </c>
      <c r="E19" s="702">
        <v>60060631</v>
      </c>
      <c r="F19" s="167">
        <v>270995</v>
      </c>
      <c r="G19" s="702">
        <v>1037631</v>
      </c>
      <c r="H19" s="167"/>
      <c r="I19" s="702">
        <v>136566321</v>
      </c>
      <c r="J19" s="167">
        <v>14568014</v>
      </c>
      <c r="K19" s="702">
        <v>54350443</v>
      </c>
      <c r="L19" s="167">
        <v>100000</v>
      </c>
      <c r="M19" s="702">
        <v>9353666</v>
      </c>
      <c r="N19" s="167"/>
      <c r="O19" s="716">
        <f t="shared" si="1"/>
        <v>379444034</v>
      </c>
      <c r="P19" s="675">
        <f t="shared" si="2"/>
        <v>74560725</v>
      </c>
    </row>
    <row r="20" spans="1:16" s="424" customFormat="1" ht="15">
      <c r="A20" s="425" t="s">
        <v>546</v>
      </c>
      <c r="B20" s="694" t="s">
        <v>18</v>
      </c>
      <c r="C20" s="700">
        <f>+C21+C22+C23+C24</f>
        <v>0</v>
      </c>
      <c r="D20" s="681">
        <f>+D21+D22+D23+D24</f>
        <v>0</v>
      </c>
      <c r="E20" s="700">
        <f aca="true" t="shared" si="5" ref="E20:N20">+E21+E22+E23+E24</f>
        <v>0</v>
      </c>
      <c r="F20" s="681">
        <f t="shared" si="5"/>
        <v>0</v>
      </c>
      <c r="G20" s="700">
        <f t="shared" si="5"/>
        <v>0</v>
      </c>
      <c r="H20" s="681">
        <f t="shared" si="5"/>
        <v>0</v>
      </c>
      <c r="I20" s="700">
        <f t="shared" si="5"/>
        <v>0</v>
      </c>
      <c r="J20" s="681">
        <f t="shared" si="5"/>
        <v>0</v>
      </c>
      <c r="K20" s="700">
        <f t="shared" si="5"/>
        <v>0</v>
      </c>
      <c r="L20" s="681">
        <f t="shared" si="5"/>
        <v>0</v>
      </c>
      <c r="M20" s="700">
        <f t="shared" si="5"/>
        <v>0</v>
      </c>
      <c r="N20" s="681">
        <f t="shared" si="5"/>
        <v>0</v>
      </c>
      <c r="O20" s="715">
        <f t="shared" si="1"/>
        <v>0</v>
      </c>
      <c r="P20" s="682">
        <f t="shared" si="2"/>
        <v>0</v>
      </c>
    </row>
    <row r="21" spans="1:16" s="424" customFormat="1" ht="15">
      <c r="A21" s="426" t="s">
        <v>547</v>
      </c>
      <c r="B21" s="694" t="s">
        <v>19</v>
      </c>
      <c r="C21" s="702"/>
      <c r="D21" s="167"/>
      <c r="E21" s="702"/>
      <c r="F21" s="167"/>
      <c r="G21" s="702"/>
      <c r="H21" s="167"/>
      <c r="I21" s="702"/>
      <c r="J21" s="167"/>
      <c r="K21" s="702"/>
      <c r="L21" s="167"/>
      <c r="M21" s="702"/>
      <c r="N21" s="167"/>
      <c r="O21" s="716">
        <f t="shared" si="1"/>
        <v>0</v>
      </c>
      <c r="P21" s="675">
        <f t="shared" si="2"/>
        <v>0</v>
      </c>
    </row>
    <row r="22" spans="1:16" s="424" customFormat="1" ht="15">
      <c r="A22" s="426" t="s">
        <v>548</v>
      </c>
      <c r="B22" s="694" t="s">
        <v>20</v>
      </c>
      <c r="C22" s="702"/>
      <c r="D22" s="167"/>
      <c r="E22" s="702"/>
      <c r="F22" s="167"/>
      <c r="G22" s="702"/>
      <c r="H22" s="167"/>
      <c r="I22" s="702"/>
      <c r="J22" s="167"/>
      <c r="K22" s="702"/>
      <c r="L22" s="167"/>
      <c r="M22" s="702"/>
      <c r="N22" s="167"/>
      <c r="O22" s="716">
        <f t="shared" si="1"/>
        <v>0</v>
      </c>
      <c r="P22" s="675">
        <f t="shared" si="2"/>
        <v>0</v>
      </c>
    </row>
    <row r="23" spans="1:16" s="424" customFormat="1" ht="15">
      <c r="A23" s="426" t="s">
        <v>549</v>
      </c>
      <c r="B23" s="694" t="s">
        <v>21</v>
      </c>
      <c r="C23" s="702"/>
      <c r="D23" s="167"/>
      <c r="E23" s="702"/>
      <c r="F23" s="167"/>
      <c r="G23" s="702"/>
      <c r="H23" s="167"/>
      <c r="I23" s="702"/>
      <c r="J23" s="167"/>
      <c r="K23" s="702"/>
      <c r="L23" s="167"/>
      <c r="M23" s="702"/>
      <c r="N23" s="167"/>
      <c r="O23" s="716">
        <f t="shared" si="1"/>
        <v>0</v>
      </c>
      <c r="P23" s="675">
        <f t="shared" si="2"/>
        <v>0</v>
      </c>
    </row>
    <row r="24" spans="1:16" s="424" customFormat="1" ht="15">
      <c r="A24" s="426" t="s">
        <v>550</v>
      </c>
      <c r="B24" s="694" t="s">
        <v>22</v>
      </c>
      <c r="C24" s="702"/>
      <c r="D24" s="167"/>
      <c r="E24" s="702"/>
      <c r="F24" s="167"/>
      <c r="G24" s="702"/>
      <c r="H24" s="167"/>
      <c r="I24" s="702"/>
      <c r="J24" s="167"/>
      <c r="K24" s="702"/>
      <c r="L24" s="167"/>
      <c r="M24" s="702"/>
      <c r="N24" s="167"/>
      <c r="O24" s="716">
        <f t="shared" si="1"/>
        <v>0</v>
      </c>
      <c r="P24" s="675">
        <f t="shared" si="2"/>
        <v>0</v>
      </c>
    </row>
    <row r="25" spans="1:16" s="424" customFormat="1" ht="15">
      <c r="A25" s="425" t="s">
        <v>551</v>
      </c>
      <c r="B25" s="694" t="s">
        <v>23</v>
      </c>
      <c r="C25" s="700">
        <f>+C26+C27+C28+C29</f>
        <v>22748802</v>
      </c>
      <c r="D25" s="681">
        <f>+D26+D27+D28+D29</f>
        <v>22748802</v>
      </c>
      <c r="E25" s="700">
        <f aca="true" t="shared" si="6" ref="E25:N25">+E26+E27+E28+E29</f>
        <v>0</v>
      </c>
      <c r="F25" s="681">
        <f t="shared" si="6"/>
        <v>0</v>
      </c>
      <c r="G25" s="700">
        <f t="shared" si="6"/>
        <v>0</v>
      </c>
      <c r="H25" s="681">
        <f t="shared" si="6"/>
        <v>0</v>
      </c>
      <c r="I25" s="700">
        <f t="shared" si="6"/>
        <v>0</v>
      </c>
      <c r="J25" s="681">
        <f t="shared" si="6"/>
        <v>0</v>
      </c>
      <c r="K25" s="700">
        <f t="shared" si="6"/>
        <v>0</v>
      </c>
      <c r="L25" s="681">
        <f t="shared" si="6"/>
        <v>0</v>
      </c>
      <c r="M25" s="700">
        <f t="shared" si="6"/>
        <v>0</v>
      </c>
      <c r="N25" s="681">
        <f t="shared" si="6"/>
        <v>0</v>
      </c>
      <c r="O25" s="715">
        <f t="shared" si="1"/>
        <v>22748802</v>
      </c>
      <c r="P25" s="682">
        <f t="shared" si="2"/>
        <v>22748802</v>
      </c>
    </row>
    <row r="26" spans="1:16" s="424" customFormat="1" ht="15">
      <c r="A26" s="426" t="s">
        <v>552</v>
      </c>
      <c r="B26" s="694" t="s">
        <v>24</v>
      </c>
      <c r="C26" s="702"/>
      <c r="D26" s="167"/>
      <c r="E26" s="702"/>
      <c r="F26" s="167"/>
      <c r="G26" s="702"/>
      <c r="H26" s="167"/>
      <c r="I26" s="702"/>
      <c r="J26" s="167"/>
      <c r="K26" s="702"/>
      <c r="L26" s="167"/>
      <c r="M26" s="702"/>
      <c r="N26" s="167"/>
      <c r="O26" s="716">
        <f t="shared" si="1"/>
        <v>0</v>
      </c>
      <c r="P26" s="675">
        <f t="shared" si="2"/>
        <v>0</v>
      </c>
    </row>
    <row r="27" spans="1:16" s="424" customFormat="1" ht="15">
      <c r="A27" s="426" t="s">
        <v>553</v>
      </c>
      <c r="B27" s="694" t="s">
        <v>25</v>
      </c>
      <c r="C27" s="702"/>
      <c r="D27" s="167"/>
      <c r="E27" s="702"/>
      <c r="F27" s="167"/>
      <c r="G27" s="702"/>
      <c r="H27" s="167"/>
      <c r="I27" s="702"/>
      <c r="J27" s="167"/>
      <c r="K27" s="702"/>
      <c r="L27" s="167"/>
      <c r="M27" s="702"/>
      <c r="N27" s="167"/>
      <c r="O27" s="716">
        <f t="shared" si="1"/>
        <v>0</v>
      </c>
      <c r="P27" s="675">
        <f t="shared" si="2"/>
        <v>0</v>
      </c>
    </row>
    <row r="28" spans="1:16" s="424" customFormat="1" ht="15">
      <c r="A28" s="426" t="s">
        <v>554</v>
      </c>
      <c r="B28" s="694" t="s">
        <v>26</v>
      </c>
      <c r="C28" s="702">
        <v>22748802</v>
      </c>
      <c r="D28" s="167">
        <v>22748802</v>
      </c>
      <c r="E28" s="702"/>
      <c r="F28" s="167"/>
      <c r="G28" s="702"/>
      <c r="H28" s="167"/>
      <c r="I28" s="702"/>
      <c r="J28" s="167"/>
      <c r="K28" s="702"/>
      <c r="L28" s="167"/>
      <c r="M28" s="702"/>
      <c r="N28" s="167"/>
      <c r="O28" s="716">
        <f t="shared" si="1"/>
        <v>22748802</v>
      </c>
      <c r="P28" s="675">
        <f t="shared" si="2"/>
        <v>22748802</v>
      </c>
    </row>
    <row r="29" spans="1:16" s="424" customFormat="1" ht="15">
      <c r="A29" s="426" t="s">
        <v>555</v>
      </c>
      <c r="B29" s="694" t="s">
        <v>27</v>
      </c>
      <c r="C29" s="702"/>
      <c r="D29" s="167"/>
      <c r="E29" s="702"/>
      <c r="F29" s="167"/>
      <c r="G29" s="702"/>
      <c r="H29" s="167"/>
      <c r="I29" s="702"/>
      <c r="J29" s="167"/>
      <c r="K29" s="702"/>
      <c r="L29" s="167"/>
      <c r="M29" s="702"/>
      <c r="N29" s="167"/>
      <c r="O29" s="716">
        <f t="shared" si="1"/>
        <v>0</v>
      </c>
      <c r="P29" s="675">
        <f t="shared" si="2"/>
        <v>0</v>
      </c>
    </row>
    <row r="30" spans="1:16" s="424" customFormat="1" ht="15">
      <c r="A30" s="425" t="s">
        <v>556</v>
      </c>
      <c r="B30" s="694" t="s">
        <v>28</v>
      </c>
      <c r="C30" s="700">
        <f>+C31+C32+C33+C34</f>
        <v>0</v>
      </c>
      <c r="D30" s="681">
        <f>+D31+D32+D33+D34</f>
        <v>0</v>
      </c>
      <c r="E30" s="700">
        <f aca="true" t="shared" si="7" ref="E30:N30">+E31+E32+E33+E34</f>
        <v>0</v>
      </c>
      <c r="F30" s="681">
        <f t="shared" si="7"/>
        <v>0</v>
      </c>
      <c r="G30" s="700">
        <f t="shared" si="7"/>
        <v>0</v>
      </c>
      <c r="H30" s="681">
        <f t="shared" si="7"/>
        <v>0</v>
      </c>
      <c r="I30" s="700">
        <f t="shared" si="7"/>
        <v>0</v>
      </c>
      <c r="J30" s="681">
        <f t="shared" si="7"/>
        <v>0</v>
      </c>
      <c r="K30" s="700">
        <f t="shared" si="7"/>
        <v>0</v>
      </c>
      <c r="L30" s="681">
        <f t="shared" si="7"/>
        <v>0</v>
      </c>
      <c r="M30" s="700">
        <f t="shared" si="7"/>
        <v>0</v>
      </c>
      <c r="N30" s="681">
        <f t="shared" si="7"/>
        <v>0</v>
      </c>
      <c r="O30" s="715">
        <f t="shared" si="1"/>
        <v>0</v>
      </c>
      <c r="P30" s="682">
        <f t="shared" si="2"/>
        <v>0</v>
      </c>
    </row>
    <row r="31" spans="1:16" s="424" customFormat="1" ht="15">
      <c r="A31" s="426" t="s">
        <v>557</v>
      </c>
      <c r="B31" s="694" t="s">
        <v>29</v>
      </c>
      <c r="C31" s="702"/>
      <c r="D31" s="167"/>
      <c r="E31" s="702"/>
      <c r="F31" s="167"/>
      <c r="G31" s="702"/>
      <c r="H31" s="167"/>
      <c r="I31" s="702"/>
      <c r="J31" s="167"/>
      <c r="K31" s="702"/>
      <c r="L31" s="167"/>
      <c r="M31" s="702"/>
      <c r="N31" s="167"/>
      <c r="O31" s="716">
        <f t="shared" si="1"/>
        <v>0</v>
      </c>
      <c r="P31" s="675">
        <f t="shared" si="2"/>
        <v>0</v>
      </c>
    </row>
    <row r="32" spans="1:16" s="424" customFormat="1" ht="20.25">
      <c r="A32" s="426" t="s">
        <v>558</v>
      </c>
      <c r="B32" s="694" t="s">
        <v>30</v>
      </c>
      <c r="C32" s="702"/>
      <c r="D32" s="167"/>
      <c r="E32" s="702"/>
      <c r="F32" s="167"/>
      <c r="G32" s="702"/>
      <c r="H32" s="167"/>
      <c r="I32" s="702"/>
      <c r="J32" s="167"/>
      <c r="K32" s="702"/>
      <c r="L32" s="167"/>
      <c r="M32" s="702"/>
      <c r="N32" s="167"/>
      <c r="O32" s="716">
        <f t="shared" si="1"/>
        <v>0</v>
      </c>
      <c r="P32" s="675">
        <f t="shared" si="2"/>
        <v>0</v>
      </c>
    </row>
    <row r="33" spans="1:16" s="424" customFormat="1" ht="15">
      <c r="A33" s="426" t="s">
        <v>559</v>
      </c>
      <c r="B33" s="694" t="s">
        <v>31</v>
      </c>
      <c r="C33" s="702"/>
      <c r="D33" s="167"/>
      <c r="E33" s="702"/>
      <c r="F33" s="167"/>
      <c r="G33" s="702"/>
      <c r="H33" s="167"/>
      <c r="I33" s="702"/>
      <c r="J33" s="167"/>
      <c r="K33" s="702"/>
      <c r="L33" s="167"/>
      <c r="M33" s="702"/>
      <c r="N33" s="167"/>
      <c r="O33" s="716">
        <f t="shared" si="1"/>
        <v>0</v>
      </c>
      <c r="P33" s="675">
        <f t="shared" si="2"/>
        <v>0</v>
      </c>
    </row>
    <row r="34" spans="1:16" s="424" customFormat="1" ht="15">
      <c r="A34" s="426" t="s">
        <v>560</v>
      </c>
      <c r="B34" s="694" t="s">
        <v>32</v>
      </c>
      <c r="C34" s="702"/>
      <c r="D34" s="167"/>
      <c r="E34" s="702"/>
      <c r="F34" s="167"/>
      <c r="G34" s="702"/>
      <c r="H34" s="167"/>
      <c r="I34" s="702"/>
      <c r="J34" s="167"/>
      <c r="K34" s="702"/>
      <c r="L34" s="167"/>
      <c r="M34" s="702"/>
      <c r="N34" s="167"/>
      <c r="O34" s="716">
        <f t="shared" si="1"/>
        <v>0</v>
      </c>
      <c r="P34" s="675">
        <f t="shared" si="2"/>
        <v>0</v>
      </c>
    </row>
    <row r="35" spans="1:16" s="424" customFormat="1" ht="15">
      <c r="A35" s="425" t="s">
        <v>561</v>
      </c>
      <c r="B35" s="695" t="s">
        <v>33</v>
      </c>
      <c r="C35" s="699">
        <f>+C36+C41+C46</f>
        <v>83500190</v>
      </c>
      <c r="D35" s="679">
        <f>+D36+D41+D46</f>
        <v>83500190</v>
      </c>
      <c r="E35" s="699"/>
      <c r="F35" s="679"/>
      <c r="G35" s="699"/>
      <c r="H35" s="679"/>
      <c r="I35" s="699"/>
      <c r="J35" s="679"/>
      <c r="K35" s="699"/>
      <c r="L35" s="679"/>
      <c r="M35" s="699"/>
      <c r="N35" s="679"/>
      <c r="O35" s="714">
        <f t="shared" si="1"/>
        <v>83500190</v>
      </c>
      <c r="P35" s="677">
        <f t="shared" si="2"/>
        <v>83500190</v>
      </c>
    </row>
    <row r="36" spans="1:16" s="424" customFormat="1" ht="15">
      <c r="A36" s="425" t="s">
        <v>562</v>
      </c>
      <c r="B36" s="694" t="s">
        <v>34</v>
      </c>
      <c r="C36" s="700">
        <f>+C37+C38+C39+C40</f>
        <v>83500190</v>
      </c>
      <c r="D36" s="681">
        <f>+D37+D38+D39+D40</f>
        <v>83500190</v>
      </c>
      <c r="E36" s="700"/>
      <c r="F36" s="681"/>
      <c r="G36" s="700"/>
      <c r="H36" s="681"/>
      <c r="I36" s="700"/>
      <c r="J36" s="681"/>
      <c r="K36" s="700"/>
      <c r="L36" s="681"/>
      <c r="M36" s="700"/>
      <c r="N36" s="681"/>
      <c r="O36" s="715">
        <f t="shared" si="1"/>
        <v>83500190</v>
      </c>
      <c r="P36" s="682">
        <f t="shared" si="2"/>
        <v>83500190</v>
      </c>
    </row>
    <row r="37" spans="1:16" s="424" customFormat="1" ht="15">
      <c r="A37" s="426" t="s">
        <v>563</v>
      </c>
      <c r="B37" s="694" t="s">
        <v>86</v>
      </c>
      <c r="C37" s="702">
        <v>7200</v>
      </c>
      <c r="D37" s="167">
        <v>7200</v>
      </c>
      <c r="E37" s="702"/>
      <c r="F37" s="167"/>
      <c r="G37" s="702"/>
      <c r="H37" s="167"/>
      <c r="I37" s="702"/>
      <c r="J37" s="167"/>
      <c r="K37" s="702"/>
      <c r="L37" s="167"/>
      <c r="M37" s="702"/>
      <c r="N37" s="167"/>
      <c r="O37" s="716">
        <f t="shared" si="1"/>
        <v>7200</v>
      </c>
      <c r="P37" s="675">
        <f t="shared" si="2"/>
        <v>7200</v>
      </c>
    </row>
    <row r="38" spans="1:16" s="424" customFormat="1" ht="15">
      <c r="A38" s="426" t="s">
        <v>564</v>
      </c>
      <c r="B38" s="694" t="s">
        <v>180</v>
      </c>
      <c r="C38" s="702"/>
      <c r="D38" s="167"/>
      <c r="E38" s="702"/>
      <c r="F38" s="167"/>
      <c r="G38" s="702"/>
      <c r="H38" s="167"/>
      <c r="I38" s="702"/>
      <c r="J38" s="167"/>
      <c r="K38" s="702"/>
      <c r="L38" s="167"/>
      <c r="M38" s="702"/>
      <c r="N38" s="167"/>
      <c r="O38" s="716">
        <f t="shared" si="1"/>
        <v>0</v>
      </c>
      <c r="P38" s="675">
        <f t="shared" si="2"/>
        <v>0</v>
      </c>
    </row>
    <row r="39" spans="1:16" s="424" customFormat="1" ht="15">
      <c r="A39" s="426" t="s">
        <v>565</v>
      </c>
      <c r="B39" s="694" t="s">
        <v>211</v>
      </c>
      <c r="C39" s="702">
        <v>25300000</v>
      </c>
      <c r="D39" s="167">
        <v>25300000</v>
      </c>
      <c r="E39" s="702"/>
      <c r="F39" s="167"/>
      <c r="G39" s="702"/>
      <c r="H39" s="167"/>
      <c r="I39" s="702"/>
      <c r="J39" s="167"/>
      <c r="K39" s="702"/>
      <c r="L39" s="167"/>
      <c r="M39" s="702"/>
      <c r="N39" s="167"/>
      <c r="O39" s="716">
        <f t="shared" si="1"/>
        <v>25300000</v>
      </c>
      <c r="P39" s="675">
        <f t="shared" si="2"/>
        <v>25300000</v>
      </c>
    </row>
    <row r="40" spans="1:16" s="424" customFormat="1" ht="15">
      <c r="A40" s="426" t="s">
        <v>566</v>
      </c>
      <c r="B40" s="694" t="s">
        <v>212</v>
      </c>
      <c r="C40" s="702">
        <v>58192990</v>
      </c>
      <c r="D40" s="167">
        <v>58192990</v>
      </c>
      <c r="E40" s="702"/>
      <c r="F40" s="167"/>
      <c r="G40" s="702"/>
      <c r="H40" s="167"/>
      <c r="I40" s="702"/>
      <c r="J40" s="167"/>
      <c r="K40" s="702"/>
      <c r="L40" s="167"/>
      <c r="M40" s="702"/>
      <c r="N40" s="167"/>
      <c r="O40" s="716">
        <f t="shared" si="1"/>
        <v>58192990</v>
      </c>
      <c r="P40" s="675">
        <f t="shared" si="2"/>
        <v>58192990</v>
      </c>
    </row>
    <row r="41" spans="1:16" s="424" customFormat="1" ht="15">
      <c r="A41" s="425" t="s">
        <v>567</v>
      </c>
      <c r="B41" s="694" t="s">
        <v>227</v>
      </c>
      <c r="C41" s="700">
        <f>+C42+C43+C44+C45</f>
        <v>0</v>
      </c>
      <c r="D41" s="681">
        <f>+D42+D43+D44+D45</f>
        <v>0</v>
      </c>
      <c r="E41" s="700">
        <f aca="true" t="shared" si="8" ref="E41:N41">+E42+E43+E44+E45</f>
        <v>0</v>
      </c>
      <c r="F41" s="681">
        <f t="shared" si="8"/>
        <v>0</v>
      </c>
      <c r="G41" s="700">
        <f t="shared" si="8"/>
        <v>0</v>
      </c>
      <c r="H41" s="681">
        <f t="shared" si="8"/>
        <v>0</v>
      </c>
      <c r="I41" s="700">
        <f t="shared" si="8"/>
        <v>0</v>
      </c>
      <c r="J41" s="681">
        <f t="shared" si="8"/>
        <v>0</v>
      </c>
      <c r="K41" s="700">
        <f t="shared" si="8"/>
        <v>0</v>
      </c>
      <c r="L41" s="681">
        <f t="shared" si="8"/>
        <v>0</v>
      </c>
      <c r="M41" s="700">
        <f t="shared" si="8"/>
        <v>0</v>
      </c>
      <c r="N41" s="681">
        <f t="shared" si="8"/>
        <v>0</v>
      </c>
      <c r="O41" s="715">
        <f t="shared" si="1"/>
        <v>0</v>
      </c>
      <c r="P41" s="682">
        <f t="shared" si="2"/>
        <v>0</v>
      </c>
    </row>
    <row r="42" spans="1:16" s="424" customFormat="1" ht="15">
      <c r="A42" s="426" t="s">
        <v>568</v>
      </c>
      <c r="B42" s="694" t="s">
        <v>228</v>
      </c>
      <c r="C42" s="702"/>
      <c r="D42" s="167"/>
      <c r="E42" s="702"/>
      <c r="F42" s="167"/>
      <c r="G42" s="702"/>
      <c r="H42" s="167"/>
      <c r="I42" s="702"/>
      <c r="J42" s="167"/>
      <c r="K42" s="702"/>
      <c r="L42" s="167"/>
      <c r="M42" s="702"/>
      <c r="N42" s="167"/>
      <c r="O42" s="716">
        <f t="shared" si="1"/>
        <v>0</v>
      </c>
      <c r="P42" s="675">
        <f t="shared" si="2"/>
        <v>0</v>
      </c>
    </row>
    <row r="43" spans="1:16" s="424" customFormat="1" ht="20.25">
      <c r="A43" s="426" t="s">
        <v>569</v>
      </c>
      <c r="B43" s="694" t="s">
        <v>229</v>
      </c>
      <c r="C43" s="702"/>
      <c r="D43" s="167"/>
      <c r="E43" s="702"/>
      <c r="F43" s="167"/>
      <c r="G43" s="702"/>
      <c r="H43" s="167"/>
      <c r="I43" s="702"/>
      <c r="J43" s="167"/>
      <c r="K43" s="702"/>
      <c r="L43" s="167"/>
      <c r="M43" s="702"/>
      <c r="N43" s="167"/>
      <c r="O43" s="716">
        <f t="shared" si="1"/>
        <v>0</v>
      </c>
      <c r="P43" s="675">
        <f t="shared" si="2"/>
        <v>0</v>
      </c>
    </row>
    <row r="44" spans="1:16" s="424" customFormat="1" ht="15">
      <c r="A44" s="426" t="s">
        <v>570</v>
      </c>
      <c r="B44" s="694" t="s">
        <v>230</v>
      </c>
      <c r="C44" s="702"/>
      <c r="D44" s="167"/>
      <c r="E44" s="702"/>
      <c r="F44" s="167"/>
      <c r="G44" s="702"/>
      <c r="H44" s="167"/>
      <c r="I44" s="702"/>
      <c r="J44" s="167"/>
      <c r="K44" s="702"/>
      <c r="L44" s="167"/>
      <c r="M44" s="702"/>
      <c r="N44" s="167"/>
      <c r="O44" s="716">
        <f t="shared" si="1"/>
        <v>0</v>
      </c>
      <c r="P44" s="675">
        <f t="shared" si="2"/>
        <v>0</v>
      </c>
    </row>
    <row r="45" spans="1:16" s="424" customFormat="1" ht="15">
      <c r="A45" s="426" t="s">
        <v>571</v>
      </c>
      <c r="B45" s="694" t="s">
        <v>231</v>
      </c>
      <c r="C45" s="702"/>
      <c r="D45" s="167"/>
      <c r="E45" s="702"/>
      <c r="F45" s="167"/>
      <c r="G45" s="702"/>
      <c r="H45" s="167"/>
      <c r="I45" s="702"/>
      <c r="J45" s="167"/>
      <c r="K45" s="702"/>
      <c r="L45" s="167"/>
      <c r="M45" s="702"/>
      <c r="N45" s="167"/>
      <c r="O45" s="716">
        <f t="shared" si="1"/>
        <v>0</v>
      </c>
      <c r="P45" s="675">
        <f t="shared" si="2"/>
        <v>0</v>
      </c>
    </row>
    <row r="46" spans="1:16" s="424" customFormat="1" ht="15">
      <c r="A46" s="425" t="s">
        <v>572</v>
      </c>
      <c r="B46" s="694" t="s">
        <v>232</v>
      </c>
      <c r="C46" s="699">
        <f>+C47+C48+C49+C50</f>
        <v>0</v>
      </c>
      <c r="D46" s="679">
        <f>+D47+D48+D49+D50</f>
        <v>0</v>
      </c>
      <c r="E46" s="699">
        <f aca="true" t="shared" si="9" ref="E46:N46">+E47+E48+E49+E50</f>
        <v>0</v>
      </c>
      <c r="F46" s="679">
        <f t="shared" si="9"/>
        <v>0</v>
      </c>
      <c r="G46" s="699">
        <f t="shared" si="9"/>
        <v>0</v>
      </c>
      <c r="H46" s="679">
        <f t="shared" si="9"/>
        <v>0</v>
      </c>
      <c r="I46" s="699">
        <f t="shared" si="9"/>
        <v>0</v>
      </c>
      <c r="J46" s="679">
        <f t="shared" si="9"/>
        <v>0</v>
      </c>
      <c r="K46" s="699">
        <f t="shared" si="9"/>
        <v>0</v>
      </c>
      <c r="L46" s="679">
        <f t="shared" si="9"/>
        <v>0</v>
      </c>
      <c r="M46" s="699">
        <f t="shared" si="9"/>
        <v>0</v>
      </c>
      <c r="N46" s="679">
        <f t="shared" si="9"/>
        <v>0</v>
      </c>
      <c r="O46" s="714">
        <f t="shared" si="1"/>
        <v>0</v>
      </c>
      <c r="P46" s="677">
        <f t="shared" si="2"/>
        <v>0</v>
      </c>
    </row>
    <row r="47" spans="1:16" s="424" customFormat="1" ht="15">
      <c r="A47" s="426" t="s">
        <v>573</v>
      </c>
      <c r="B47" s="694" t="s">
        <v>233</v>
      </c>
      <c r="C47" s="702"/>
      <c r="D47" s="167"/>
      <c r="E47" s="702"/>
      <c r="F47" s="167"/>
      <c r="G47" s="702"/>
      <c r="H47" s="167"/>
      <c r="I47" s="702"/>
      <c r="J47" s="167"/>
      <c r="K47" s="702"/>
      <c r="L47" s="167"/>
      <c r="M47" s="702"/>
      <c r="N47" s="167"/>
      <c r="O47" s="716">
        <f t="shared" si="1"/>
        <v>0</v>
      </c>
      <c r="P47" s="675">
        <f t="shared" si="2"/>
        <v>0</v>
      </c>
    </row>
    <row r="48" spans="1:16" s="424" customFormat="1" ht="20.25">
      <c r="A48" s="426" t="s">
        <v>574</v>
      </c>
      <c r="B48" s="694" t="s">
        <v>234</v>
      </c>
      <c r="C48" s="702"/>
      <c r="D48" s="167"/>
      <c r="E48" s="702"/>
      <c r="F48" s="167"/>
      <c r="G48" s="702"/>
      <c r="H48" s="167"/>
      <c r="I48" s="702"/>
      <c r="J48" s="167"/>
      <c r="K48" s="702"/>
      <c r="L48" s="167"/>
      <c r="M48" s="702"/>
      <c r="N48" s="167"/>
      <c r="O48" s="716">
        <f t="shared" si="1"/>
        <v>0</v>
      </c>
      <c r="P48" s="675">
        <f t="shared" si="2"/>
        <v>0</v>
      </c>
    </row>
    <row r="49" spans="1:16" s="424" customFormat="1" ht="15">
      <c r="A49" s="426" t="s">
        <v>575</v>
      </c>
      <c r="B49" s="694" t="s">
        <v>235</v>
      </c>
      <c r="C49" s="702"/>
      <c r="D49" s="167"/>
      <c r="E49" s="702"/>
      <c r="F49" s="167"/>
      <c r="G49" s="702"/>
      <c r="H49" s="167"/>
      <c r="I49" s="702"/>
      <c r="J49" s="167"/>
      <c r="K49" s="702"/>
      <c r="L49" s="167"/>
      <c r="M49" s="702"/>
      <c r="N49" s="167"/>
      <c r="O49" s="716">
        <f t="shared" si="1"/>
        <v>0</v>
      </c>
      <c r="P49" s="675">
        <f t="shared" si="2"/>
        <v>0</v>
      </c>
    </row>
    <row r="50" spans="1:16" s="424" customFormat="1" ht="15">
      <c r="A50" s="426" t="s">
        <v>576</v>
      </c>
      <c r="B50" s="694" t="s">
        <v>236</v>
      </c>
      <c r="C50" s="702"/>
      <c r="D50" s="167"/>
      <c r="E50" s="702"/>
      <c r="F50" s="167"/>
      <c r="G50" s="702"/>
      <c r="H50" s="167"/>
      <c r="I50" s="702"/>
      <c r="J50" s="167"/>
      <c r="K50" s="702"/>
      <c r="L50" s="167"/>
      <c r="M50" s="702"/>
      <c r="N50" s="167"/>
      <c r="O50" s="716">
        <f t="shared" si="1"/>
        <v>0</v>
      </c>
      <c r="P50" s="675">
        <f t="shared" si="2"/>
        <v>0</v>
      </c>
    </row>
    <row r="51" spans="1:16" s="424" customFormat="1" ht="15">
      <c r="A51" s="425" t="s">
        <v>577</v>
      </c>
      <c r="B51" s="694" t="s">
        <v>237</v>
      </c>
      <c r="C51" s="703"/>
      <c r="D51" s="684"/>
      <c r="E51" s="703"/>
      <c r="F51" s="684"/>
      <c r="G51" s="703"/>
      <c r="H51" s="684"/>
      <c r="I51" s="703"/>
      <c r="J51" s="684"/>
      <c r="K51" s="703"/>
      <c r="L51" s="684"/>
      <c r="M51" s="703"/>
      <c r="N51" s="684"/>
      <c r="O51" s="715">
        <f t="shared" si="1"/>
        <v>0</v>
      </c>
      <c r="P51" s="682">
        <f t="shared" si="2"/>
        <v>0</v>
      </c>
    </row>
    <row r="52" spans="1:16" s="424" customFormat="1" ht="26.25">
      <c r="A52" s="644" t="s">
        <v>578</v>
      </c>
      <c r="B52" s="696" t="s">
        <v>238</v>
      </c>
      <c r="C52" s="704">
        <f>+C8+C9+C35+C51</f>
        <v>14884216984</v>
      </c>
      <c r="D52" s="685">
        <f>+D8+D9+D35+D51</f>
        <v>11907146325</v>
      </c>
      <c r="E52" s="704">
        <f aca="true" t="shared" si="10" ref="E52:N52">+E8+E9+E35+E51</f>
        <v>137135326</v>
      </c>
      <c r="F52" s="685">
        <f t="shared" si="10"/>
        <v>27924289</v>
      </c>
      <c r="G52" s="704">
        <f t="shared" si="10"/>
        <v>9633417</v>
      </c>
      <c r="H52" s="685">
        <f t="shared" si="10"/>
        <v>2619078</v>
      </c>
      <c r="I52" s="704">
        <f t="shared" si="10"/>
        <v>162448825</v>
      </c>
      <c r="J52" s="685">
        <f t="shared" si="10"/>
        <v>36205188</v>
      </c>
      <c r="K52" s="704">
        <f t="shared" si="10"/>
        <v>60723233</v>
      </c>
      <c r="L52" s="685">
        <f t="shared" si="10"/>
        <v>100000</v>
      </c>
      <c r="M52" s="704">
        <f t="shared" si="10"/>
        <v>9803666</v>
      </c>
      <c r="N52" s="685">
        <f t="shared" si="10"/>
        <v>0</v>
      </c>
      <c r="O52" s="717">
        <f t="shared" si="1"/>
        <v>15263961451</v>
      </c>
      <c r="P52" s="686">
        <f t="shared" si="2"/>
        <v>11973994880</v>
      </c>
    </row>
    <row r="53" spans="1:16" s="424" customFormat="1" ht="15">
      <c r="A53" s="425" t="s">
        <v>579</v>
      </c>
      <c r="B53" s="695" t="s">
        <v>239</v>
      </c>
      <c r="C53" s="705"/>
      <c r="D53" s="683">
        <v>59315</v>
      </c>
      <c r="E53" s="705"/>
      <c r="F53" s="683"/>
      <c r="G53" s="705"/>
      <c r="H53" s="683"/>
      <c r="I53" s="705"/>
      <c r="J53" s="683">
        <v>1333549</v>
      </c>
      <c r="K53" s="705"/>
      <c r="L53" s="683"/>
      <c r="M53" s="705"/>
      <c r="N53" s="683"/>
      <c r="O53" s="714">
        <f t="shared" si="1"/>
        <v>0</v>
      </c>
      <c r="P53" s="677">
        <f t="shared" si="2"/>
        <v>1392864</v>
      </c>
    </row>
    <row r="54" spans="1:16" s="424" customFormat="1" ht="15">
      <c r="A54" s="425" t="s">
        <v>580</v>
      </c>
      <c r="B54" s="695" t="s">
        <v>240</v>
      </c>
      <c r="C54" s="705"/>
      <c r="D54" s="683"/>
      <c r="E54" s="705"/>
      <c r="F54" s="683"/>
      <c r="G54" s="705"/>
      <c r="H54" s="683"/>
      <c r="I54" s="705"/>
      <c r="J54" s="683"/>
      <c r="K54" s="705"/>
      <c r="L54" s="683"/>
      <c r="M54" s="705"/>
      <c r="N54" s="683"/>
      <c r="O54" s="714">
        <f t="shared" si="1"/>
        <v>0</v>
      </c>
      <c r="P54" s="677">
        <f t="shared" si="2"/>
        <v>0</v>
      </c>
    </row>
    <row r="55" spans="1:16" s="424" customFormat="1" ht="15">
      <c r="A55" s="644" t="s">
        <v>581</v>
      </c>
      <c r="B55" s="696" t="s">
        <v>241</v>
      </c>
      <c r="C55" s="704"/>
      <c r="D55" s="685">
        <f>+D53+D54</f>
        <v>59315</v>
      </c>
      <c r="E55" s="704"/>
      <c r="F55" s="685">
        <f aca="true" t="shared" si="11" ref="F55:N55">+F53+F54</f>
        <v>0</v>
      </c>
      <c r="G55" s="704">
        <f t="shared" si="11"/>
        <v>0</v>
      </c>
      <c r="H55" s="685">
        <f t="shared" si="11"/>
        <v>0</v>
      </c>
      <c r="I55" s="704">
        <f t="shared" si="11"/>
        <v>0</v>
      </c>
      <c r="J55" s="685">
        <f t="shared" si="11"/>
        <v>1333549</v>
      </c>
      <c r="K55" s="704">
        <f t="shared" si="11"/>
        <v>0</v>
      </c>
      <c r="L55" s="685">
        <f t="shared" si="11"/>
        <v>0</v>
      </c>
      <c r="M55" s="704">
        <f t="shared" si="11"/>
        <v>0</v>
      </c>
      <c r="N55" s="685">
        <f t="shared" si="11"/>
        <v>0</v>
      </c>
      <c r="O55" s="717">
        <f t="shared" si="1"/>
        <v>0</v>
      </c>
      <c r="P55" s="686">
        <f t="shared" si="2"/>
        <v>1392864</v>
      </c>
    </row>
    <row r="56" spans="1:16" s="424" customFormat="1" ht="15">
      <c r="A56" s="425" t="s">
        <v>582</v>
      </c>
      <c r="B56" s="695" t="s">
        <v>242</v>
      </c>
      <c r="C56" s="705"/>
      <c r="D56" s="683"/>
      <c r="E56" s="705"/>
      <c r="F56" s="683"/>
      <c r="G56" s="705"/>
      <c r="H56" s="683"/>
      <c r="I56" s="705"/>
      <c r="J56" s="683"/>
      <c r="K56" s="705"/>
      <c r="L56" s="683"/>
      <c r="M56" s="705"/>
      <c r="N56" s="683"/>
      <c r="O56" s="714">
        <f t="shared" si="1"/>
        <v>0</v>
      </c>
      <c r="P56" s="677">
        <f t="shared" si="2"/>
        <v>0</v>
      </c>
    </row>
    <row r="57" spans="1:16" s="424" customFormat="1" ht="15">
      <c r="A57" s="425" t="s">
        <v>583</v>
      </c>
      <c r="B57" s="695" t="s">
        <v>243</v>
      </c>
      <c r="C57" s="705"/>
      <c r="D57" s="683">
        <v>276676</v>
      </c>
      <c r="E57" s="705"/>
      <c r="F57" s="683">
        <v>270480</v>
      </c>
      <c r="G57" s="705" t="s">
        <v>703</v>
      </c>
      <c r="H57" s="683">
        <v>5165</v>
      </c>
      <c r="I57" s="705" t="s">
        <v>703</v>
      </c>
      <c r="J57" s="683">
        <v>236490</v>
      </c>
      <c r="K57" s="705" t="s">
        <v>703</v>
      </c>
      <c r="L57" s="683">
        <v>103150</v>
      </c>
      <c r="M57" s="705" t="s">
        <v>703</v>
      </c>
      <c r="N57" s="683">
        <v>250960</v>
      </c>
      <c r="O57" s="714"/>
      <c r="P57" s="677">
        <f t="shared" si="2"/>
        <v>1142921</v>
      </c>
    </row>
    <row r="58" spans="1:16" s="424" customFormat="1" ht="15">
      <c r="A58" s="425" t="s">
        <v>584</v>
      </c>
      <c r="B58" s="695" t="s">
        <v>244</v>
      </c>
      <c r="C58" s="705"/>
      <c r="D58" s="683">
        <v>1112654840</v>
      </c>
      <c r="E58" s="705"/>
      <c r="F58" s="683">
        <v>612006</v>
      </c>
      <c r="G58" s="705"/>
      <c r="H58" s="683">
        <v>339770</v>
      </c>
      <c r="I58" s="705"/>
      <c r="J58" s="683">
        <v>8490440</v>
      </c>
      <c r="K58" s="705"/>
      <c r="L58" s="683">
        <v>2403572</v>
      </c>
      <c r="M58" s="705"/>
      <c r="N58" s="683">
        <v>1703901</v>
      </c>
      <c r="O58" s="714">
        <f t="shared" si="1"/>
        <v>0</v>
      </c>
      <c r="P58" s="677">
        <f t="shared" si="2"/>
        <v>1126204529</v>
      </c>
    </row>
    <row r="59" spans="1:16" s="424" customFormat="1" ht="15">
      <c r="A59" s="425" t="s">
        <v>585</v>
      </c>
      <c r="B59" s="695" t="s">
        <v>245</v>
      </c>
      <c r="C59" s="705"/>
      <c r="D59" s="683"/>
      <c r="E59" s="705"/>
      <c r="F59" s="683"/>
      <c r="G59" s="705"/>
      <c r="H59" s="683"/>
      <c r="I59" s="705"/>
      <c r="J59" s="683"/>
      <c r="K59" s="705"/>
      <c r="L59" s="683"/>
      <c r="M59" s="705"/>
      <c r="N59" s="683"/>
      <c r="O59" s="714">
        <f t="shared" si="1"/>
        <v>0</v>
      </c>
      <c r="P59" s="677">
        <f t="shared" si="2"/>
        <v>0</v>
      </c>
    </row>
    <row r="60" spans="1:16" s="424" customFormat="1" ht="15">
      <c r="A60" s="644" t="s">
        <v>586</v>
      </c>
      <c r="B60" s="696" t="s">
        <v>246</v>
      </c>
      <c r="C60" s="704"/>
      <c r="D60" s="685">
        <f>+D56+D57+D58+D59</f>
        <v>1112931516</v>
      </c>
      <c r="E60" s="704"/>
      <c r="F60" s="685">
        <f aca="true" t="shared" si="12" ref="F60:N60">+F56+F57+F58+F59</f>
        <v>882486</v>
      </c>
      <c r="G60" s="704"/>
      <c r="H60" s="685">
        <f t="shared" si="12"/>
        <v>344935</v>
      </c>
      <c r="I60" s="704"/>
      <c r="J60" s="685">
        <f t="shared" si="12"/>
        <v>8726930</v>
      </c>
      <c r="K60" s="704"/>
      <c r="L60" s="685">
        <f t="shared" si="12"/>
        <v>2506722</v>
      </c>
      <c r="M60" s="704"/>
      <c r="N60" s="685">
        <f t="shared" si="12"/>
        <v>1954861</v>
      </c>
      <c r="O60" s="717">
        <f t="shared" si="1"/>
        <v>0</v>
      </c>
      <c r="P60" s="686">
        <f t="shared" si="2"/>
        <v>1127347450</v>
      </c>
    </row>
    <row r="61" spans="1:16" s="424" customFormat="1" ht="15">
      <c r="A61" s="425" t="s">
        <v>587</v>
      </c>
      <c r="B61" s="695" t="s">
        <v>247</v>
      </c>
      <c r="C61" s="705"/>
      <c r="D61" s="683">
        <v>96328827</v>
      </c>
      <c r="E61" s="705"/>
      <c r="F61" s="683">
        <v>1280</v>
      </c>
      <c r="G61" s="705"/>
      <c r="H61" s="683"/>
      <c r="I61" s="705"/>
      <c r="J61" s="683">
        <v>6809845</v>
      </c>
      <c r="K61" s="705"/>
      <c r="L61" s="683">
        <v>320000</v>
      </c>
      <c r="M61" s="705"/>
      <c r="N61" s="683"/>
      <c r="O61" s="714">
        <f t="shared" si="1"/>
        <v>0</v>
      </c>
      <c r="P61" s="677">
        <f t="shared" si="2"/>
        <v>103459952</v>
      </c>
    </row>
    <row r="62" spans="1:16" s="424" customFormat="1" ht="15">
      <c r="A62" s="425" t="s">
        <v>588</v>
      </c>
      <c r="B62" s="695" t="s">
        <v>248</v>
      </c>
      <c r="C62" s="705"/>
      <c r="D62" s="683">
        <v>6433219</v>
      </c>
      <c r="E62" s="705"/>
      <c r="F62" s="683">
        <v>106381</v>
      </c>
      <c r="G62" s="705"/>
      <c r="H62" s="683"/>
      <c r="I62" s="705"/>
      <c r="J62" s="683"/>
      <c r="K62" s="705"/>
      <c r="L62" s="683"/>
      <c r="M62" s="705"/>
      <c r="N62" s="683"/>
      <c r="O62" s="714">
        <f t="shared" si="1"/>
        <v>0</v>
      </c>
      <c r="P62" s="677">
        <f t="shared" si="2"/>
        <v>6539600</v>
      </c>
    </row>
    <row r="63" spans="1:16" s="424" customFormat="1" ht="15">
      <c r="A63" s="425" t="s">
        <v>589</v>
      </c>
      <c r="B63" s="695" t="s">
        <v>249</v>
      </c>
      <c r="C63" s="705"/>
      <c r="D63" s="683">
        <v>24523026</v>
      </c>
      <c r="E63" s="705"/>
      <c r="F63" s="683"/>
      <c r="G63" s="705"/>
      <c r="H63" s="683"/>
      <c r="I63" s="705"/>
      <c r="J63" s="683">
        <v>11572964</v>
      </c>
      <c r="K63" s="705"/>
      <c r="L63" s="683">
        <v>1254340</v>
      </c>
      <c r="M63" s="705"/>
      <c r="N63" s="683">
        <v>9639849</v>
      </c>
      <c r="O63" s="714">
        <f t="shared" si="1"/>
        <v>0</v>
      </c>
      <c r="P63" s="677">
        <f t="shared" si="2"/>
        <v>46990179</v>
      </c>
    </row>
    <row r="64" spans="1:16" s="424" customFormat="1" ht="15">
      <c r="A64" s="644" t="s">
        <v>590</v>
      </c>
      <c r="B64" s="696" t="s">
        <v>250</v>
      </c>
      <c r="C64" s="704"/>
      <c r="D64" s="685">
        <f>+D61+D62+D63</f>
        <v>127285072</v>
      </c>
      <c r="E64" s="704"/>
      <c r="F64" s="685">
        <f aca="true" t="shared" si="13" ref="F64:N64">+F61+F62+F63</f>
        <v>107661</v>
      </c>
      <c r="G64" s="704"/>
      <c r="H64" s="685">
        <f t="shared" si="13"/>
        <v>0</v>
      </c>
      <c r="I64" s="704">
        <f t="shared" si="13"/>
        <v>0</v>
      </c>
      <c r="J64" s="685">
        <f t="shared" si="13"/>
        <v>18382809</v>
      </c>
      <c r="K64" s="704"/>
      <c r="L64" s="685">
        <f t="shared" si="13"/>
        <v>1574340</v>
      </c>
      <c r="M64" s="704"/>
      <c r="N64" s="685">
        <f t="shared" si="13"/>
        <v>9639849</v>
      </c>
      <c r="O64" s="717">
        <f t="shared" si="1"/>
        <v>0</v>
      </c>
      <c r="P64" s="686">
        <f t="shared" si="2"/>
        <v>156989731</v>
      </c>
    </row>
    <row r="65" spans="1:16" s="424" customFormat="1" ht="15">
      <c r="A65" s="425" t="s">
        <v>591</v>
      </c>
      <c r="B65" s="695" t="s">
        <v>251</v>
      </c>
      <c r="C65" s="705"/>
      <c r="D65" s="683"/>
      <c r="E65" s="705"/>
      <c r="F65" s="683"/>
      <c r="G65" s="705"/>
      <c r="H65" s="683"/>
      <c r="I65" s="705"/>
      <c r="J65" s="683"/>
      <c r="K65" s="705"/>
      <c r="L65" s="683"/>
      <c r="M65" s="705"/>
      <c r="N65" s="683"/>
      <c r="O65" s="714">
        <f t="shared" si="1"/>
        <v>0</v>
      </c>
      <c r="P65" s="677">
        <f t="shared" si="2"/>
        <v>0</v>
      </c>
    </row>
    <row r="66" spans="1:16" s="424" customFormat="1" ht="20.25">
      <c r="A66" s="425" t="s">
        <v>592</v>
      </c>
      <c r="B66" s="695" t="s">
        <v>252</v>
      </c>
      <c r="C66" s="705"/>
      <c r="D66" s="683">
        <v>218190</v>
      </c>
      <c r="E66" s="705"/>
      <c r="F66" s="683"/>
      <c r="G66" s="705"/>
      <c r="H66" s="683"/>
      <c r="I66" s="705"/>
      <c r="J66" s="683"/>
      <c r="K66" s="705"/>
      <c r="L66" s="683"/>
      <c r="M66" s="705"/>
      <c r="N66" s="683"/>
      <c r="O66" s="714">
        <f t="shared" si="1"/>
        <v>0</v>
      </c>
      <c r="P66" s="677">
        <f t="shared" si="2"/>
        <v>218190</v>
      </c>
    </row>
    <row r="67" spans="1:16" s="424" customFormat="1" ht="15">
      <c r="A67" s="644" t="s">
        <v>593</v>
      </c>
      <c r="B67" s="696" t="s">
        <v>253</v>
      </c>
      <c r="C67" s="704"/>
      <c r="D67" s="685">
        <v>5220902</v>
      </c>
      <c r="E67" s="704"/>
      <c r="F67" s="685">
        <f>+F65+F66</f>
        <v>0</v>
      </c>
      <c r="G67" s="704"/>
      <c r="H67" s="685">
        <v>885368</v>
      </c>
      <c r="I67" s="704">
        <f>+I65+I66</f>
        <v>0</v>
      </c>
      <c r="J67" s="685">
        <v>-239509</v>
      </c>
      <c r="K67" s="704"/>
      <c r="L67" s="685">
        <v>-266946</v>
      </c>
      <c r="M67" s="704"/>
      <c r="N67" s="685">
        <v>4874</v>
      </c>
      <c r="O67" s="717">
        <f t="shared" si="1"/>
        <v>0</v>
      </c>
      <c r="P67" s="686">
        <f t="shared" si="2"/>
        <v>5604689</v>
      </c>
    </row>
    <row r="68" spans="1:16" s="424" customFormat="1" ht="15.75" thickBot="1">
      <c r="A68" s="644" t="s">
        <v>594</v>
      </c>
      <c r="B68" s="696" t="s">
        <v>254</v>
      </c>
      <c r="C68" s="706"/>
      <c r="D68" s="687">
        <v>151531</v>
      </c>
      <c r="E68" s="706"/>
      <c r="F68" s="687"/>
      <c r="G68" s="706"/>
      <c r="H68" s="687"/>
      <c r="I68" s="710"/>
      <c r="J68" s="711">
        <v>2970771</v>
      </c>
      <c r="K68" s="706"/>
      <c r="L68" s="687">
        <v>56700</v>
      </c>
      <c r="M68" s="706"/>
      <c r="N68" s="687"/>
      <c r="O68" s="717">
        <f t="shared" si="1"/>
        <v>0</v>
      </c>
      <c r="P68" s="686">
        <f t="shared" si="2"/>
        <v>3179002</v>
      </c>
    </row>
    <row r="69" spans="1:16" s="424" customFormat="1" ht="15.75" thickBot="1">
      <c r="A69" s="689" t="s">
        <v>595</v>
      </c>
      <c r="B69" s="697" t="s">
        <v>255</v>
      </c>
      <c r="C69" s="707">
        <f>+C52+C55+C60+C64+C67+C68</f>
        <v>14884216984</v>
      </c>
      <c r="D69" s="690">
        <f>+D52+D55+D60+D64+D67+D68</f>
        <v>13152794661</v>
      </c>
      <c r="E69" s="707">
        <f aca="true" t="shared" si="14" ref="E69:N69">+E52+E55+E60+E64+E67+E68</f>
        <v>137135326</v>
      </c>
      <c r="F69" s="690">
        <f t="shared" si="14"/>
        <v>28914436</v>
      </c>
      <c r="G69" s="707">
        <f t="shared" si="14"/>
        <v>9633417</v>
      </c>
      <c r="H69" s="690">
        <f t="shared" si="14"/>
        <v>3849381</v>
      </c>
      <c r="I69" s="708">
        <f t="shared" si="14"/>
        <v>162448825</v>
      </c>
      <c r="J69" s="709">
        <f t="shared" si="14"/>
        <v>67379738</v>
      </c>
      <c r="K69" s="707">
        <f t="shared" si="14"/>
        <v>60723233</v>
      </c>
      <c r="L69" s="690">
        <f t="shared" si="14"/>
        <v>3970816</v>
      </c>
      <c r="M69" s="707">
        <f t="shared" si="14"/>
        <v>9803666</v>
      </c>
      <c r="N69" s="690">
        <f t="shared" si="14"/>
        <v>11599584</v>
      </c>
      <c r="O69" s="718">
        <f t="shared" si="1"/>
        <v>15263961451</v>
      </c>
      <c r="P69" s="688">
        <f t="shared" si="2"/>
        <v>13268508616</v>
      </c>
    </row>
    <row r="70" spans="1:4" ht="15">
      <c r="A70" s="427"/>
      <c r="C70" s="428"/>
      <c r="D70" s="428"/>
    </row>
    <row r="71" spans="1:4" ht="15">
      <c r="A71" s="427"/>
      <c r="C71" s="428"/>
      <c r="D71" s="428"/>
    </row>
    <row r="72" spans="1:4" ht="15">
      <c r="A72" s="429"/>
      <c r="C72" s="428"/>
      <c r="D72" s="428"/>
    </row>
    <row r="73" spans="1:4" ht="15">
      <c r="A73" s="949"/>
      <c r="B73" s="949"/>
      <c r="C73" s="949"/>
      <c r="D73" s="949"/>
    </row>
    <row r="74" spans="1:4" ht="15">
      <c r="A74" s="949"/>
      <c r="B74" s="949"/>
      <c r="C74" s="949"/>
      <c r="D74" s="949"/>
    </row>
  </sheetData>
  <sheetProtection/>
  <mergeCells count="40">
    <mergeCell ref="C2:D2"/>
    <mergeCell ref="B4:B6"/>
    <mergeCell ref="C4:C5"/>
    <mergeCell ref="D4:D5"/>
    <mergeCell ref="C6:D6"/>
    <mergeCell ref="C3:D3"/>
    <mergeCell ref="E3:F3"/>
    <mergeCell ref="G3:H3"/>
    <mergeCell ref="I3:J3"/>
    <mergeCell ref="A73:D73"/>
    <mergeCell ref="A74:D74"/>
    <mergeCell ref="N4:N5"/>
    <mergeCell ref="O4:O5"/>
    <mergeCell ref="P4:P5"/>
    <mergeCell ref="E4:E5"/>
    <mergeCell ref="F4:F5"/>
    <mergeCell ref="G4:G5"/>
    <mergeCell ref="H4:H5"/>
    <mergeCell ref="I4:I5"/>
    <mergeCell ref="J4:J5"/>
    <mergeCell ref="O2:P2"/>
    <mergeCell ref="E6:F6"/>
    <mergeCell ref="G6:H6"/>
    <mergeCell ref="I6:J6"/>
    <mergeCell ref="K6:L6"/>
    <mergeCell ref="M6:N6"/>
    <mergeCell ref="O6:P6"/>
    <mergeCell ref="K4:K5"/>
    <mergeCell ref="L4:L5"/>
    <mergeCell ref="M4:M5"/>
    <mergeCell ref="A1:P1"/>
    <mergeCell ref="A3:A6"/>
    <mergeCell ref="K3:L3"/>
    <mergeCell ref="M3:N3"/>
    <mergeCell ref="O3:P3"/>
    <mergeCell ref="E2:F2"/>
    <mergeCell ref="G2:H2"/>
    <mergeCell ref="I2:J2"/>
    <mergeCell ref="K2:L2"/>
    <mergeCell ref="M2:N2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landscape" paperSize="8" scale="52" r:id="rId1"/>
  <headerFooter alignWithMargins="0">
    <oddHeader>&amp;L&amp;"Times New Roman,Félkövér dőlt"Nagykáta Város Önkormányzata&amp;R&amp;"Times New Roman,Félkövér dőlt"7.1. tájékoztató tábla a 4/2018. (V.30.) önkormányzati rendelethez</oddHeader>
    <oddFooter>&amp;C&amp;P</oddFooter>
  </headerFooter>
  <rowBreaks count="1" manualBreakCount="1">
    <brk id="69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7"/>
  <sheetViews>
    <sheetView workbookViewId="0" topLeftCell="A1">
      <selection activeCell="E28" sqref="E28"/>
    </sheetView>
  </sheetViews>
  <sheetFormatPr defaultColWidth="9.375" defaultRowHeight="12.75"/>
  <cols>
    <col min="1" max="1" width="66.625" style="171" customWidth="1"/>
    <col min="2" max="2" width="6.125" style="175" customWidth="1"/>
    <col min="3" max="3" width="24.50390625" style="430" customWidth="1"/>
    <col min="4" max="5" width="21.125" style="430" customWidth="1"/>
    <col min="6" max="6" width="24.375" style="430" customWidth="1"/>
    <col min="7" max="7" width="20.125" style="430" customWidth="1"/>
    <col min="8" max="8" width="18.75390625" style="430" customWidth="1"/>
    <col min="9" max="9" width="22.75390625" style="430" customWidth="1"/>
    <col min="10" max="16384" width="9.375" style="430" customWidth="1"/>
  </cols>
  <sheetData>
    <row r="1" spans="1:9" ht="32.25" customHeight="1">
      <c r="A1" s="966" t="s">
        <v>256</v>
      </c>
      <c r="B1" s="967"/>
      <c r="C1" s="967"/>
      <c r="D1" s="967"/>
      <c r="E1" s="967"/>
      <c r="F1" s="967"/>
      <c r="G1" s="967"/>
      <c r="H1" s="967"/>
      <c r="I1" s="967"/>
    </row>
    <row r="2" spans="1:9" ht="15">
      <c r="A2" s="966" t="str">
        <f>+CONCATENATE(LEFT(ÖSSZEFÜGGÉSEK!A4,4),". év")</f>
        <v>2017. év</v>
      </c>
      <c r="B2" s="966"/>
      <c r="C2" s="966"/>
      <c r="D2" s="966"/>
      <c r="E2" s="966"/>
      <c r="F2" s="966"/>
      <c r="G2" s="966"/>
      <c r="H2" s="966"/>
      <c r="I2" s="966"/>
    </row>
    <row r="4" spans="2:9" ht="13.5" thickBot="1">
      <c r="B4" s="965"/>
      <c r="C4" s="965"/>
      <c r="D4" s="965"/>
      <c r="E4" s="965"/>
      <c r="F4" s="965"/>
      <c r="G4" s="965"/>
      <c r="H4" s="965" t="s">
        <v>964</v>
      </c>
      <c r="I4" s="965"/>
    </row>
    <row r="5" spans="1:9" ht="85.5" customHeight="1" thickBot="1">
      <c r="A5" s="954" t="s">
        <v>257</v>
      </c>
      <c r="B5" s="957" t="s">
        <v>214</v>
      </c>
      <c r="C5" s="645" t="s">
        <v>695</v>
      </c>
      <c r="D5" s="645" t="s">
        <v>676</v>
      </c>
      <c r="E5" s="646" t="s">
        <v>961</v>
      </c>
      <c r="F5" s="646" t="s">
        <v>962</v>
      </c>
      <c r="G5" s="645" t="s">
        <v>857</v>
      </c>
      <c r="H5" s="647" t="s">
        <v>963</v>
      </c>
      <c r="I5" s="648" t="s">
        <v>38</v>
      </c>
    </row>
    <row r="6" spans="1:9" s="172" customFormat="1" ht="31.5" customHeight="1">
      <c r="A6" s="955"/>
      <c r="B6" s="958"/>
      <c r="C6" s="960" t="s">
        <v>258</v>
      </c>
      <c r="D6" s="960" t="s">
        <v>258</v>
      </c>
      <c r="E6" s="960" t="s">
        <v>258</v>
      </c>
      <c r="F6" s="960" t="s">
        <v>258</v>
      </c>
      <c r="G6" s="960" t="s">
        <v>258</v>
      </c>
      <c r="H6" s="952" t="s">
        <v>258</v>
      </c>
      <c r="I6" s="962" t="s">
        <v>258</v>
      </c>
    </row>
    <row r="7" spans="1:9" s="172" customFormat="1" ht="12.75" customHeight="1">
      <c r="A7" s="956"/>
      <c r="B7" s="959"/>
      <c r="C7" s="961"/>
      <c r="D7" s="961"/>
      <c r="E7" s="961"/>
      <c r="F7" s="961"/>
      <c r="G7" s="961"/>
      <c r="H7" s="953"/>
      <c r="I7" s="963"/>
    </row>
    <row r="8" spans="1:9" s="173" customFormat="1" ht="15.75" thickBot="1">
      <c r="A8" s="649" t="s">
        <v>373</v>
      </c>
      <c r="B8" s="650" t="s">
        <v>374</v>
      </c>
      <c r="C8" s="651" t="s">
        <v>375</v>
      </c>
      <c r="D8" s="651" t="s">
        <v>375</v>
      </c>
      <c r="E8" s="651" t="s">
        <v>375</v>
      </c>
      <c r="F8" s="651" t="s">
        <v>375</v>
      </c>
      <c r="G8" s="651" t="s">
        <v>375</v>
      </c>
      <c r="H8" s="652" t="s">
        <v>375</v>
      </c>
      <c r="I8" s="653" t="s">
        <v>375</v>
      </c>
    </row>
    <row r="9" spans="1:9" ht="15.75" customHeight="1">
      <c r="A9" s="654" t="s">
        <v>597</v>
      </c>
      <c r="B9" s="655" t="s">
        <v>218</v>
      </c>
      <c r="C9" s="656">
        <v>9762462078</v>
      </c>
      <c r="D9" s="656">
        <v>194497451</v>
      </c>
      <c r="E9" s="656">
        <v>82491344</v>
      </c>
      <c r="F9" s="656">
        <v>250523184</v>
      </c>
      <c r="G9" s="656">
        <v>412264530</v>
      </c>
      <c r="H9" s="657">
        <v>82652849</v>
      </c>
      <c r="I9" s="658">
        <f>C9+D9+E9+F9+G9+H9</f>
        <v>10784891436</v>
      </c>
    </row>
    <row r="10" spans="1:9" ht="15.75" customHeight="1">
      <c r="A10" s="654" t="s">
        <v>598</v>
      </c>
      <c r="B10" s="659" t="s">
        <v>219</v>
      </c>
      <c r="C10" s="656">
        <v>548129450</v>
      </c>
      <c r="D10" s="656">
        <v>-8652005</v>
      </c>
      <c r="E10" s="656">
        <v>-68458972</v>
      </c>
      <c r="F10" s="656">
        <v>-153312145</v>
      </c>
      <c r="G10" s="656">
        <v>-377119436</v>
      </c>
      <c r="H10" s="657">
        <v>-74253404</v>
      </c>
      <c r="I10" s="658">
        <f aca="true" t="shared" si="0" ref="I10:I22">C10+D10+E10+F10+G10+H10</f>
        <v>-133666512</v>
      </c>
    </row>
    <row r="11" spans="1:9" ht="15.75" customHeight="1">
      <c r="A11" s="654" t="s">
        <v>599</v>
      </c>
      <c r="B11" s="659" t="s">
        <v>220</v>
      </c>
      <c r="C11" s="656">
        <v>61662072</v>
      </c>
      <c r="D11" s="656">
        <v>160405</v>
      </c>
      <c r="E11" s="656">
        <v>15815</v>
      </c>
      <c r="F11" s="656"/>
      <c r="G11" s="656"/>
      <c r="H11" s="657"/>
      <c r="I11" s="658">
        <f t="shared" si="0"/>
        <v>61838292</v>
      </c>
    </row>
    <row r="12" spans="1:9" ht="15.75" customHeight="1">
      <c r="A12" s="654" t="s">
        <v>600</v>
      </c>
      <c r="B12" s="659" t="s">
        <v>221</v>
      </c>
      <c r="C12" s="660">
        <v>-1427009690</v>
      </c>
      <c r="D12" s="660">
        <v>-133987557</v>
      </c>
      <c r="E12" s="660">
        <v>-10737541</v>
      </c>
      <c r="F12" s="660">
        <v>-84066838</v>
      </c>
      <c r="G12" s="660">
        <v>-36228831</v>
      </c>
      <c r="H12" s="661">
        <v>-25170492</v>
      </c>
      <c r="I12" s="658">
        <f t="shared" si="0"/>
        <v>-1717200949</v>
      </c>
    </row>
    <row r="13" spans="1:9" ht="15.75" customHeight="1">
      <c r="A13" s="654" t="s">
        <v>601</v>
      </c>
      <c r="B13" s="659" t="s">
        <v>222</v>
      </c>
      <c r="C13" s="660"/>
      <c r="D13" s="660"/>
      <c r="E13" s="660"/>
      <c r="F13" s="660"/>
      <c r="G13" s="660"/>
      <c r="H13" s="661"/>
      <c r="I13" s="658">
        <f t="shared" si="0"/>
        <v>0</v>
      </c>
    </row>
    <row r="14" spans="1:9" ht="15.75" customHeight="1">
      <c r="A14" s="654" t="s">
        <v>602</v>
      </c>
      <c r="B14" s="659" t="s">
        <v>223</v>
      </c>
      <c r="C14" s="660">
        <v>808851373</v>
      </c>
      <c r="D14" s="660">
        <v>-34532834</v>
      </c>
      <c r="E14" s="660">
        <v>-9845923</v>
      </c>
      <c r="F14" s="660">
        <v>13058006</v>
      </c>
      <c r="G14" s="660">
        <v>-1051511</v>
      </c>
      <c r="H14" s="661">
        <v>-5007223</v>
      </c>
      <c r="I14" s="658">
        <f t="shared" si="0"/>
        <v>771471888</v>
      </c>
    </row>
    <row r="15" spans="1:9" ht="15.75" customHeight="1">
      <c r="A15" s="654" t="s">
        <v>603</v>
      </c>
      <c r="B15" s="659" t="s">
        <v>224</v>
      </c>
      <c r="C15" s="662">
        <f aca="true" t="shared" si="1" ref="C15:H15">+C9+C10+C11+C12+C13+C14</f>
        <v>9754095283</v>
      </c>
      <c r="D15" s="662">
        <f t="shared" si="1"/>
        <v>17485460</v>
      </c>
      <c r="E15" s="662">
        <f t="shared" si="1"/>
        <v>-6535277</v>
      </c>
      <c r="F15" s="662">
        <f t="shared" si="1"/>
        <v>26202207</v>
      </c>
      <c r="G15" s="662">
        <f t="shared" si="1"/>
        <v>-2135248</v>
      </c>
      <c r="H15" s="663">
        <f t="shared" si="1"/>
        <v>-21778270</v>
      </c>
      <c r="I15" s="664">
        <f t="shared" si="0"/>
        <v>9767334155</v>
      </c>
    </row>
    <row r="16" spans="1:9" ht="15.75" customHeight="1">
      <c r="A16" s="654" t="s">
        <v>649</v>
      </c>
      <c r="B16" s="659" t="s">
        <v>225</v>
      </c>
      <c r="C16" s="665">
        <v>9088130</v>
      </c>
      <c r="D16" s="665"/>
      <c r="E16" s="665">
        <v>134400</v>
      </c>
      <c r="F16" s="665">
        <v>2276158</v>
      </c>
      <c r="G16" s="665">
        <v>0</v>
      </c>
      <c r="H16" s="666">
        <v>95469</v>
      </c>
      <c r="I16" s="658">
        <f t="shared" si="0"/>
        <v>11594157</v>
      </c>
    </row>
    <row r="17" spans="1:9" ht="15.75" customHeight="1">
      <c r="A17" s="654" t="s">
        <v>604</v>
      </c>
      <c r="B17" s="659" t="s">
        <v>226</v>
      </c>
      <c r="C17" s="665">
        <v>30384174</v>
      </c>
      <c r="D17" s="665">
        <v>1105886</v>
      </c>
      <c r="E17" s="665">
        <v>102129</v>
      </c>
      <c r="F17" s="665">
        <v>0</v>
      </c>
      <c r="G17" s="665"/>
      <c r="H17" s="666"/>
      <c r="I17" s="658">
        <f t="shared" si="0"/>
        <v>31592189</v>
      </c>
    </row>
    <row r="18" spans="1:9" ht="15.75" customHeight="1">
      <c r="A18" s="654" t="s">
        <v>605</v>
      </c>
      <c r="B18" s="659" t="s">
        <v>15</v>
      </c>
      <c r="C18" s="665">
        <v>46199353</v>
      </c>
      <c r="D18" s="665">
        <v>0</v>
      </c>
      <c r="E18" s="665"/>
      <c r="F18" s="665">
        <v>6600048</v>
      </c>
      <c r="G18" s="665">
        <v>753780</v>
      </c>
      <c r="H18" s="666"/>
      <c r="I18" s="658">
        <f t="shared" si="0"/>
        <v>53553181</v>
      </c>
    </row>
    <row r="19" spans="1:9" ht="15.75" customHeight="1">
      <c r="A19" s="654" t="s">
        <v>606</v>
      </c>
      <c r="B19" s="659" t="s">
        <v>16</v>
      </c>
      <c r="C19" s="662">
        <f aca="true" t="shared" si="2" ref="C19:H19">+C16+C17+C18</f>
        <v>85671657</v>
      </c>
      <c r="D19" s="662">
        <f t="shared" si="2"/>
        <v>1105886</v>
      </c>
      <c r="E19" s="662">
        <f t="shared" si="2"/>
        <v>236529</v>
      </c>
      <c r="F19" s="662">
        <f t="shared" si="2"/>
        <v>8876206</v>
      </c>
      <c r="G19" s="662">
        <f t="shared" si="2"/>
        <v>753780</v>
      </c>
      <c r="H19" s="663">
        <f t="shared" si="2"/>
        <v>95469</v>
      </c>
      <c r="I19" s="664">
        <f t="shared" si="0"/>
        <v>96739527</v>
      </c>
    </row>
    <row r="20" spans="1:9" s="431" customFormat="1" ht="15.75" customHeight="1">
      <c r="A20" s="654" t="s">
        <v>607</v>
      </c>
      <c r="B20" s="659" t="s">
        <v>17</v>
      </c>
      <c r="C20" s="660"/>
      <c r="D20" s="660"/>
      <c r="E20" s="660"/>
      <c r="F20" s="660"/>
      <c r="G20" s="660"/>
      <c r="H20" s="661"/>
      <c r="I20" s="658">
        <f t="shared" si="0"/>
        <v>0</v>
      </c>
    </row>
    <row r="21" spans="1:9" ht="15.75" customHeight="1">
      <c r="A21" s="654" t="s">
        <v>608</v>
      </c>
      <c r="B21" s="659" t="s">
        <v>18</v>
      </c>
      <c r="C21" s="667">
        <v>3313027721</v>
      </c>
      <c r="D21" s="667">
        <v>10323090</v>
      </c>
      <c r="E21" s="667">
        <v>10148129</v>
      </c>
      <c r="F21" s="667">
        <v>32301325</v>
      </c>
      <c r="G21" s="667">
        <v>5352284</v>
      </c>
      <c r="H21" s="668">
        <v>33282385</v>
      </c>
      <c r="I21" s="664">
        <f t="shared" si="0"/>
        <v>3404434934</v>
      </c>
    </row>
    <row r="22" spans="1:9" ht="15.75" customHeight="1" thickBot="1">
      <c r="A22" s="669" t="s">
        <v>609</v>
      </c>
      <c r="B22" s="670" t="s">
        <v>19</v>
      </c>
      <c r="C22" s="671">
        <f aca="true" t="shared" si="3" ref="C22:H22">+C15+C19+C20+C21</f>
        <v>13152794661</v>
      </c>
      <c r="D22" s="671">
        <f t="shared" si="3"/>
        <v>28914436</v>
      </c>
      <c r="E22" s="671">
        <f t="shared" si="3"/>
        <v>3849381</v>
      </c>
      <c r="F22" s="671">
        <f t="shared" si="3"/>
        <v>67379738</v>
      </c>
      <c r="G22" s="671">
        <f t="shared" si="3"/>
        <v>3970816</v>
      </c>
      <c r="H22" s="672">
        <f t="shared" si="3"/>
        <v>11599584</v>
      </c>
      <c r="I22" s="673">
        <f t="shared" si="0"/>
        <v>13268508616</v>
      </c>
    </row>
    <row r="23" spans="1:5" ht="15">
      <c r="A23" s="427"/>
      <c r="B23" s="429"/>
      <c r="C23" s="428"/>
      <c r="D23" s="428"/>
      <c r="E23" s="428"/>
    </row>
    <row r="24" spans="1:5" ht="15">
      <c r="A24" s="427"/>
      <c r="B24" s="429"/>
      <c r="C24" s="428"/>
      <c r="D24" s="428"/>
      <c r="E24" s="428"/>
    </row>
    <row r="25" spans="1:5" ht="15">
      <c r="A25" s="429"/>
      <c r="B25" s="429"/>
      <c r="C25" s="428"/>
      <c r="D25" s="428"/>
      <c r="E25" s="428"/>
    </row>
    <row r="26" spans="1:5" ht="15">
      <c r="A26" s="964"/>
      <c r="B26" s="964"/>
      <c r="C26" s="964"/>
      <c r="D26" s="432"/>
      <c r="E26" s="432"/>
    </row>
    <row r="27" spans="1:5" ht="15">
      <c r="A27" s="964"/>
      <c r="B27" s="964"/>
      <c r="C27" s="964"/>
      <c r="D27" s="432"/>
      <c r="E27" s="432"/>
    </row>
  </sheetData>
  <sheetProtection/>
  <mergeCells count="17">
    <mergeCell ref="I6:I7"/>
    <mergeCell ref="A26:C26"/>
    <mergeCell ref="A27:C27"/>
    <mergeCell ref="B4:C4"/>
    <mergeCell ref="C6:C7"/>
    <mergeCell ref="A1:I1"/>
    <mergeCell ref="A2:I2"/>
    <mergeCell ref="D4:E4"/>
    <mergeCell ref="F4:G4"/>
    <mergeCell ref="H4:I4"/>
    <mergeCell ref="H6:H7"/>
    <mergeCell ref="A5:A7"/>
    <mergeCell ref="B5:B7"/>
    <mergeCell ref="D6:D7"/>
    <mergeCell ref="E6:E7"/>
    <mergeCell ref="F6:F7"/>
    <mergeCell ref="G6:G7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landscape" paperSize="9" scale="63" r:id="rId1"/>
  <headerFooter alignWithMargins="0">
    <oddHeader>&amp;L&amp;"Times New Roman,Félkövér dőlt"Nagykáta Város Önkormányzata&amp;R&amp;"Times New Roman CE,Félkövér dőlt"7.2. tájékoztató tábla a 4/2018. (V.30.)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I30"/>
  <sheetViews>
    <sheetView workbookViewId="0" topLeftCell="A1">
      <selection activeCell="K22" sqref="K22"/>
    </sheetView>
  </sheetViews>
  <sheetFormatPr defaultColWidth="12.00390625" defaultRowHeight="12.75"/>
  <cols>
    <col min="1" max="1" width="58.75390625" style="166" customWidth="1"/>
    <col min="2" max="2" width="6.75390625" style="166" customWidth="1"/>
    <col min="3" max="9" width="16.75390625" style="166" customWidth="1"/>
    <col min="10" max="16384" width="12.00390625" style="166" customWidth="1"/>
  </cols>
  <sheetData>
    <row r="1" spans="1:9" ht="48" customHeight="1">
      <c r="A1" s="974" t="str">
        <f>+CONCATENATE("VAGYONKIMUTATÁS",CHAR(10),"az érték nélkül nyilvántartott eszközökről",CHAR(10),LEFT(ÖSSZEFÜGGÉSEK!A4,4),".")</f>
        <v>VAGYONKIMUTATÁS
az érték nélkül nyilvántartott eszközökről
2017.</v>
      </c>
      <c r="B1" s="974"/>
      <c r="C1" s="974"/>
      <c r="D1" s="974"/>
      <c r="E1" s="974"/>
      <c r="F1" s="974"/>
      <c r="G1" s="974"/>
      <c r="H1" s="974"/>
      <c r="I1" s="974"/>
    </row>
    <row r="2" ht="15.75" thickBot="1"/>
    <row r="3" spans="1:9" ht="48.75" thickBot="1">
      <c r="A3" s="970" t="s">
        <v>47</v>
      </c>
      <c r="B3" s="972" t="s">
        <v>214</v>
      </c>
      <c r="C3" s="737" t="s">
        <v>695</v>
      </c>
      <c r="D3" s="640" t="s">
        <v>676</v>
      </c>
      <c r="E3" s="639" t="s">
        <v>961</v>
      </c>
      <c r="F3" s="639" t="s">
        <v>962</v>
      </c>
      <c r="G3" s="640" t="s">
        <v>857</v>
      </c>
      <c r="H3" s="642" t="s">
        <v>963</v>
      </c>
      <c r="I3" s="643" t="s">
        <v>38</v>
      </c>
    </row>
    <row r="4" spans="1:9" ht="43.5" customHeight="1" thickBot="1">
      <c r="A4" s="971"/>
      <c r="B4" s="973"/>
      <c r="C4" s="738" t="s">
        <v>965</v>
      </c>
      <c r="D4" s="641" t="s">
        <v>965</v>
      </c>
      <c r="E4" s="641" t="s">
        <v>965</v>
      </c>
      <c r="F4" s="641" t="s">
        <v>965</v>
      </c>
      <c r="G4" s="641" t="s">
        <v>965</v>
      </c>
      <c r="H4" s="720" t="s">
        <v>965</v>
      </c>
      <c r="I4" s="726" t="s">
        <v>965</v>
      </c>
    </row>
    <row r="5" spans="1:9" ht="15.75" thickBot="1">
      <c r="A5" s="732" t="s">
        <v>373</v>
      </c>
      <c r="B5" s="744" t="s">
        <v>374</v>
      </c>
      <c r="C5" s="739" t="s">
        <v>375</v>
      </c>
      <c r="D5" s="176" t="s">
        <v>375</v>
      </c>
      <c r="E5" s="176" t="s">
        <v>375</v>
      </c>
      <c r="F5" s="176" t="s">
        <v>375</v>
      </c>
      <c r="G5" s="176" t="s">
        <v>375</v>
      </c>
      <c r="H5" s="721" t="s">
        <v>375</v>
      </c>
      <c r="I5" s="727" t="s">
        <v>375</v>
      </c>
    </row>
    <row r="6" spans="1:9" ht="15.75" customHeight="1">
      <c r="A6" s="733" t="s">
        <v>629</v>
      </c>
      <c r="B6" s="745" t="s">
        <v>6</v>
      </c>
      <c r="C6" s="740">
        <v>211787958</v>
      </c>
      <c r="D6" s="177">
        <v>105491467</v>
      </c>
      <c r="E6" s="177">
        <v>4226666</v>
      </c>
      <c r="F6" s="177">
        <v>115644576</v>
      </c>
      <c r="G6" s="177">
        <v>60623233</v>
      </c>
      <c r="H6" s="722">
        <v>9803666</v>
      </c>
      <c r="I6" s="728">
        <f>SUM(C6:H6)</f>
        <v>507577566</v>
      </c>
    </row>
    <row r="7" spans="1:9" ht="15.75" customHeight="1">
      <c r="A7" s="733" t="s">
        <v>630</v>
      </c>
      <c r="B7" s="746" t="s">
        <v>7</v>
      </c>
      <c r="C7" s="741"/>
      <c r="D7" s="178"/>
      <c r="E7" s="178">
        <v>722981</v>
      </c>
      <c r="F7" s="178"/>
      <c r="G7" s="178"/>
      <c r="H7" s="723"/>
      <c r="I7" s="728">
        <f aca="true" t="shared" si="0" ref="I7:I23">SUM(C7:H7)</f>
        <v>722981</v>
      </c>
    </row>
    <row r="8" spans="1:9" ht="15.75" customHeight="1">
      <c r="A8" s="733" t="s">
        <v>631</v>
      </c>
      <c r="B8" s="746" t="s">
        <v>8</v>
      </c>
      <c r="C8" s="741">
        <v>12566434</v>
      </c>
      <c r="D8" s="178">
        <v>2033993</v>
      </c>
      <c r="E8" s="178"/>
      <c r="F8" s="178"/>
      <c r="G8" s="178">
        <v>100000</v>
      </c>
      <c r="H8" s="723"/>
      <c r="I8" s="728">
        <f t="shared" si="0"/>
        <v>14700427</v>
      </c>
    </row>
    <row r="9" spans="1:9" ht="15.75" customHeight="1" thickBot="1">
      <c r="A9" s="734" t="s">
        <v>632</v>
      </c>
      <c r="B9" s="747" t="s">
        <v>9</v>
      </c>
      <c r="C9" s="742"/>
      <c r="D9" s="179"/>
      <c r="E9" s="179"/>
      <c r="F9" s="179">
        <v>1333549</v>
      </c>
      <c r="G9" s="179"/>
      <c r="H9" s="724"/>
      <c r="I9" s="729">
        <f t="shared" si="0"/>
        <v>1333549</v>
      </c>
    </row>
    <row r="10" spans="1:9" ht="15.75" customHeight="1" thickBot="1">
      <c r="A10" s="735" t="s">
        <v>633</v>
      </c>
      <c r="B10" s="748" t="s">
        <v>10</v>
      </c>
      <c r="C10" s="743">
        <f aca="true" t="shared" si="1" ref="C10:H10">+C11+C12+C13+C14</f>
        <v>83500190</v>
      </c>
      <c r="D10" s="434">
        <f t="shared" si="1"/>
        <v>0</v>
      </c>
      <c r="E10" s="434">
        <f t="shared" si="1"/>
        <v>0</v>
      </c>
      <c r="F10" s="434">
        <f t="shared" si="1"/>
        <v>0</v>
      </c>
      <c r="G10" s="434">
        <f t="shared" si="1"/>
        <v>0</v>
      </c>
      <c r="H10" s="725">
        <f t="shared" si="1"/>
        <v>0</v>
      </c>
      <c r="I10" s="731">
        <f t="shared" si="0"/>
        <v>83500190</v>
      </c>
    </row>
    <row r="11" spans="1:9" ht="15.75" customHeight="1">
      <c r="A11" s="736" t="s">
        <v>634</v>
      </c>
      <c r="B11" s="745" t="s">
        <v>11</v>
      </c>
      <c r="C11" s="740">
        <v>83500190</v>
      </c>
      <c r="D11" s="177"/>
      <c r="E11" s="177"/>
      <c r="F11" s="177"/>
      <c r="G11" s="177"/>
      <c r="H11" s="722"/>
      <c r="I11" s="728">
        <f t="shared" si="0"/>
        <v>83500190</v>
      </c>
    </row>
    <row r="12" spans="1:9" ht="15.75" customHeight="1">
      <c r="A12" s="733" t="s">
        <v>635</v>
      </c>
      <c r="B12" s="746" t="s">
        <v>12</v>
      </c>
      <c r="C12" s="741"/>
      <c r="D12" s="178"/>
      <c r="E12" s="178"/>
      <c r="F12" s="178"/>
      <c r="G12" s="178"/>
      <c r="H12" s="723"/>
      <c r="I12" s="728">
        <f t="shared" si="0"/>
        <v>0</v>
      </c>
    </row>
    <row r="13" spans="1:9" ht="15.75" customHeight="1">
      <c r="A13" s="733" t="s">
        <v>636</v>
      </c>
      <c r="B13" s="746" t="s">
        <v>13</v>
      </c>
      <c r="C13" s="741"/>
      <c r="D13" s="178"/>
      <c r="E13" s="178"/>
      <c r="F13" s="178"/>
      <c r="G13" s="178"/>
      <c r="H13" s="723"/>
      <c r="I13" s="728">
        <f t="shared" si="0"/>
        <v>0</v>
      </c>
    </row>
    <row r="14" spans="1:9" ht="15.75" customHeight="1" thickBot="1">
      <c r="A14" s="734" t="s">
        <v>637</v>
      </c>
      <c r="B14" s="747" t="s">
        <v>14</v>
      </c>
      <c r="C14" s="742"/>
      <c r="D14" s="179"/>
      <c r="E14" s="179"/>
      <c r="F14" s="179"/>
      <c r="G14" s="179"/>
      <c r="H14" s="724"/>
      <c r="I14" s="729">
        <f t="shared" si="0"/>
        <v>0</v>
      </c>
    </row>
    <row r="15" spans="1:9" ht="15.75" customHeight="1" thickBot="1">
      <c r="A15" s="735" t="s">
        <v>638</v>
      </c>
      <c r="B15" s="749" t="s">
        <v>15</v>
      </c>
      <c r="C15" s="743">
        <f aca="true" t="shared" si="2" ref="C15:H15">+C16+C17+C18</f>
        <v>0</v>
      </c>
      <c r="D15" s="434">
        <f t="shared" si="2"/>
        <v>0</v>
      </c>
      <c r="E15" s="434">
        <f t="shared" si="2"/>
        <v>0</v>
      </c>
      <c r="F15" s="434">
        <f t="shared" si="2"/>
        <v>0</v>
      </c>
      <c r="G15" s="434">
        <f t="shared" si="2"/>
        <v>0</v>
      </c>
      <c r="H15" s="725">
        <f t="shared" si="2"/>
        <v>0</v>
      </c>
      <c r="I15" s="730">
        <f t="shared" si="0"/>
        <v>0</v>
      </c>
    </row>
    <row r="16" spans="1:9" ht="15.75" customHeight="1">
      <c r="A16" s="736" t="s">
        <v>639</v>
      </c>
      <c r="B16" s="745" t="s">
        <v>16</v>
      </c>
      <c r="C16" s="740"/>
      <c r="D16" s="177"/>
      <c r="E16" s="177"/>
      <c r="F16" s="177"/>
      <c r="G16" s="177"/>
      <c r="H16" s="722"/>
      <c r="I16" s="728">
        <f t="shared" si="0"/>
        <v>0</v>
      </c>
    </row>
    <row r="17" spans="1:9" ht="15.75" customHeight="1">
      <c r="A17" s="733" t="s">
        <v>640</v>
      </c>
      <c r="B17" s="746" t="s">
        <v>17</v>
      </c>
      <c r="C17" s="741"/>
      <c r="D17" s="178"/>
      <c r="E17" s="178"/>
      <c r="F17" s="178"/>
      <c r="G17" s="178"/>
      <c r="H17" s="723"/>
      <c r="I17" s="728">
        <f t="shared" si="0"/>
        <v>0</v>
      </c>
    </row>
    <row r="18" spans="1:9" ht="15.75" customHeight="1" thickBot="1">
      <c r="A18" s="734" t="s">
        <v>641</v>
      </c>
      <c r="B18" s="747" t="s">
        <v>18</v>
      </c>
      <c r="C18" s="742"/>
      <c r="D18" s="179"/>
      <c r="E18" s="179"/>
      <c r="F18" s="179"/>
      <c r="G18" s="179"/>
      <c r="H18" s="724"/>
      <c r="I18" s="729">
        <f t="shared" si="0"/>
        <v>0</v>
      </c>
    </row>
    <row r="19" spans="1:9" ht="15.75" customHeight="1" thickBot="1">
      <c r="A19" s="735" t="s">
        <v>647</v>
      </c>
      <c r="B19" s="749" t="s">
        <v>19</v>
      </c>
      <c r="C19" s="743">
        <f aca="true" t="shared" si="3" ref="C19:H19">+C20+C21+C22</f>
        <v>0</v>
      </c>
      <c r="D19" s="434">
        <f t="shared" si="3"/>
        <v>0</v>
      </c>
      <c r="E19" s="434">
        <f t="shared" si="3"/>
        <v>0</v>
      </c>
      <c r="F19" s="434">
        <f t="shared" si="3"/>
        <v>0</v>
      </c>
      <c r="G19" s="434">
        <f t="shared" si="3"/>
        <v>0</v>
      </c>
      <c r="H19" s="725">
        <f t="shared" si="3"/>
        <v>0</v>
      </c>
      <c r="I19" s="730">
        <f t="shared" si="0"/>
        <v>0</v>
      </c>
    </row>
    <row r="20" spans="1:9" ht="15.75" customHeight="1">
      <c r="A20" s="736" t="s">
        <v>642</v>
      </c>
      <c r="B20" s="745" t="s">
        <v>20</v>
      </c>
      <c r="C20" s="740"/>
      <c r="D20" s="177"/>
      <c r="E20" s="177"/>
      <c r="F20" s="177"/>
      <c r="G20" s="177"/>
      <c r="H20" s="722"/>
      <c r="I20" s="728">
        <f t="shared" si="0"/>
        <v>0</v>
      </c>
    </row>
    <row r="21" spans="1:9" ht="15.75" customHeight="1">
      <c r="A21" s="733" t="s">
        <v>643</v>
      </c>
      <c r="B21" s="746" t="s">
        <v>21</v>
      </c>
      <c r="C21" s="741"/>
      <c r="D21" s="178"/>
      <c r="E21" s="178"/>
      <c r="F21" s="178"/>
      <c r="G21" s="178"/>
      <c r="H21" s="723"/>
      <c r="I21" s="728">
        <f t="shared" si="0"/>
        <v>0</v>
      </c>
    </row>
    <row r="22" spans="1:9" ht="15.75" customHeight="1">
      <c r="A22" s="733" t="s">
        <v>644</v>
      </c>
      <c r="B22" s="746" t="s">
        <v>22</v>
      </c>
      <c r="C22" s="741"/>
      <c r="D22" s="178"/>
      <c r="E22" s="178"/>
      <c r="F22" s="178"/>
      <c r="G22" s="178"/>
      <c r="H22" s="723"/>
      <c r="I22" s="728">
        <f t="shared" si="0"/>
        <v>0</v>
      </c>
    </row>
    <row r="23" spans="1:9" ht="15.75" customHeight="1" thickBot="1">
      <c r="A23" s="733" t="s">
        <v>645</v>
      </c>
      <c r="B23" s="746" t="s">
        <v>23</v>
      </c>
      <c r="C23" s="741"/>
      <c r="D23" s="178"/>
      <c r="E23" s="178"/>
      <c r="F23" s="178"/>
      <c r="G23" s="178"/>
      <c r="H23" s="723"/>
      <c r="I23" s="728">
        <f t="shared" si="0"/>
        <v>0</v>
      </c>
    </row>
    <row r="24" spans="1:9" ht="15.75" customHeight="1" thickBot="1">
      <c r="A24" s="968" t="s">
        <v>646</v>
      </c>
      <c r="B24" s="969"/>
      <c r="C24" s="719">
        <f>+C6+C7+C8+C9+C10+C15+C19+C23</f>
        <v>307854582</v>
      </c>
      <c r="D24" s="719">
        <f aca="true" t="shared" si="4" ref="D24:I24">+D6+D7+D8+D9+D10+D15+D19+D23</f>
        <v>107525460</v>
      </c>
      <c r="E24" s="719">
        <f t="shared" si="4"/>
        <v>4949647</v>
      </c>
      <c r="F24" s="719">
        <f t="shared" si="4"/>
        <v>116978125</v>
      </c>
      <c r="G24" s="719">
        <f t="shared" si="4"/>
        <v>60723233</v>
      </c>
      <c r="H24" s="719">
        <f t="shared" si="4"/>
        <v>9803666</v>
      </c>
      <c r="I24" s="719">
        <f t="shared" si="4"/>
        <v>607834713</v>
      </c>
    </row>
    <row r="25" ht="15">
      <c r="A25" s="435" t="s">
        <v>648</v>
      </c>
    </row>
    <row r="26" spans="1:3" ht="15">
      <c r="A26" s="168"/>
      <c r="B26" s="169"/>
      <c r="C26" s="170"/>
    </row>
    <row r="27" spans="1:3" ht="15">
      <c r="A27" s="168"/>
      <c r="B27" s="169"/>
      <c r="C27" s="170"/>
    </row>
    <row r="28" spans="1:3" ht="15">
      <c r="A28" s="169"/>
      <c r="B28" s="169"/>
      <c r="C28" s="170"/>
    </row>
    <row r="29" spans="1:2" ht="15">
      <c r="A29" s="174"/>
      <c r="B29" s="174"/>
    </row>
    <row r="30" spans="1:2" ht="15">
      <c r="A30" s="174"/>
      <c r="B30" s="174"/>
    </row>
  </sheetData>
  <sheetProtection/>
  <mergeCells count="4">
    <mergeCell ref="A24:B24"/>
    <mergeCell ref="A3:A4"/>
    <mergeCell ref="B3:B4"/>
    <mergeCell ref="A1:I1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landscape" paperSize="9" scale="78" r:id="rId1"/>
  <headerFooter alignWithMargins="0">
    <oddHeader>&amp;L&amp;"Times New Roman,Félkövér dőlt"Nagykáta Város Önkormányzata&amp;R&amp;"Times New Roman,Félkövér dőlt"7.3. tájékoztató tábla a 4/2018. (V.30.)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L13"/>
  <sheetViews>
    <sheetView workbookViewId="0" topLeftCell="A1">
      <selection activeCell="K10" sqref="K10"/>
    </sheetView>
  </sheetViews>
  <sheetFormatPr defaultColWidth="12.00390625" defaultRowHeight="12.75"/>
  <cols>
    <col min="1" max="1" width="21.00390625" style="166" customWidth="1"/>
    <col min="2" max="2" width="39.50390625" style="166" customWidth="1"/>
    <col min="3" max="3" width="17.125" style="166" customWidth="1"/>
    <col min="4" max="4" width="19.125" style="166" customWidth="1"/>
    <col min="5" max="10" width="12.00390625" style="166" customWidth="1"/>
    <col min="11" max="11" width="24.75390625" style="166" customWidth="1"/>
    <col min="12" max="12" width="24.50390625" style="166" customWidth="1"/>
    <col min="13" max="16384" width="12.00390625" style="166" customWidth="1"/>
  </cols>
  <sheetData>
    <row r="1" spans="1:12" ht="48.75" customHeight="1">
      <c r="A1" s="975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2017.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</row>
    <row r="3" spans="1:12" ht="15">
      <c r="A3" s="978"/>
      <c r="B3" s="978"/>
      <c r="C3" s="978"/>
      <c r="D3" s="978"/>
      <c r="E3" s="978"/>
      <c r="F3" s="978"/>
      <c r="G3" s="978"/>
      <c r="H3" s="978"/>
      <c r="I3" s="978"/>
      <c r="J3" s="978"/>
      <c r="K3" s="978"/>
      <c r="L3"/>
    </row>
    <row r="4" spans="1:12" ht="15">
      <c r="A4"/>
      <c r="B4" s="451"/>
      <c r="C4" s="452"/>
      <c r="D4" s="452"/>
      <c r="E4" s="452"/>
      <c r="F4" s="452"/>
      <c r="G4" s="452"/>
      <c r="H4" s="452"/>
      <c r="I4" s="452"/>
      <c r="J4" s="452"/>
      <c r="K4" s="452"/>
      <c r="L4"/>
    </row>
    <row r="5" spans="1:12" ht="15">
      <c r="A5"/>
      <c r="B5" s="453"/>
      <c r="C5"/>
      <c r="D5"/>
      <c r="E5"/>
      <c r="F5"/>
      <c r="G5"/>
      <c r="H5"/>
      <c r="I5"/>
      <c r="J5"/>
      <c r="K5" s="454" t="s">
        <v>720</v>
      </c>
      <c r="L5"/>
    </row>
    <row r="6" spans="1:12" ht="39.75">
      <c r="A6" s="979" t="s">
        <v>214</v>
      </c>
      <c r="B6" s="976" t="s">
        <v>704</v>
      </c>
      <c r="C6" s="976" t="s">
        <v>705</v>
      </c>
      <c r="D6" s="976" t="s">
        <v>706</v>
      </c>
      <c r="E6" s="455" t="s">
        <v>707</v>
      </c>
      <c r="F6" s="981" t="s">
        <v>708</v>
      </c>
      <c r="G6" s="981"/>
      <c r="H6" s="981"/>
      <c r="I6" s="982"/>
      <c r="J6" s="976" t="s">
        <v>709</v>
      </c>
      <c r="K6" s="976" t="s">
        <v>710</v>
      </c>
      <c r="L6" s="976" t="s">
        <v>711</v>
      </c>
    </row>
    <row r="7" spans="1:12" ht="27">
      <c r="A7" s="980"/>
      <c r="B7" s="977"/>
      <c r="C7" s="977"/>
      <c r="D7" s="977"/>
      <c r="E7" s="457">
        <v>2017</v>
      </c>
      <c r="F7" s="457">
        <v>2018</v>
      </c>
      <c r="G7" s="457">
        <v>2019</v>
      </c>
      <c r="H7" s="457">
        <v>2020</v>
      </c>
      <c r="I7" s="458" t="s">
        <v>712</v>
      </c>
      <c r="J7" s="977"/>
      <c r="K7" s="977"/>
      <c r="L7" s="977"/>
    </row>
    <row r="8" spans="1:12" ht="15">
      <c r="A8" s="459" t="s">
        <v>6</v>
      </c>
      <c r="B8" s="459" t="s">
        <v>713</v>
      </c>
      <c r="C8" s="459" t="s">
        <v>713</v>
      </c>
      <c r="D8" s="459" t="s">
        <v>713</v>
      </c>
      <c r="E8" s="460">
        <v>0</v>
      </c>
      <c r="F8" s="460">
        <v>0</v>
      </c>
      <c r="G8" s="460">
        <v>0</v>
      </c>
      <c r="H8" s="460">
        <v>0</v>
      </c>
      <c r="I8" s="460">
        <v>0</v>
      </c>
      <c r="J8" s="461">
        <v>0</v>
      </c>
      <c r="K8" s="461">
        <v>0</v>
      </c>
      <c r="L8" s="459" t="s">
        <v>713</v>
      </c>
    </row>
    <row r="9" spans="1:12" ht="15">
      <c r="A9" s="456"/>
      <c r="B9" s="462" t="s">
        <v>714</v>
      </c>
      <c r="C9" s="463"/>
      <c r="D9" s="463"/>
      <c r="E9" s="464">
        <f aca="true" t="shared" si="0" ref="E9:K9">SUM(E8:E8)</f>
        <v>0</v>
      </c>
      <c r="F9" s="464">
        <f t="shared" si="0"/>
        <v>0</v>
      </c>
      <c r="G9" s="464">
        <f t="shared" si="0"/>
        <v>0</v>
      </c>
      <c r="H9" s="464">
        <f t="shared" si="0"/>
        <v>0</v>
      </c>
      <c r="I9" s="464">
        <f t="shared" si="0"/>
        <v>0</v>
      </c>
      <c r="J9" s="465">
        <f t="shared" si="0"/>
        <v>0</v>
      </c>
      <c r="K9" s="465">
        <f t="shared" si="0"/>
        <v>0</v>
      </c>
      <c r="L9" s="463"/>
    </row>
    <row r="10" spans="1:12" ht="41.25" customHeight="1">
      <c r="A10" s="459" t="s">
        <v>7</v>
      </c>
      <c r="B10" s="450" t="s">
        <v>700</v>
      </c>
      <c r="C10" s="459" t="s">
        <v>715</v>
      </c>
      <c r="D10" s="459">
        <v>2025</v>
      </c>
      <c r="E10" s="460">
        <v>0</v>
      </c>
      <c r="F10" s="460">
        <v>0</v>
      </c>
      <c r="G10" s="460">
        <v>0</v>
      </c>
      <c r="H10" s="460">
        <v>0</v>
      </c>
      <c r="I10" s="460">
        <v>0</v>
      </c>
      <c r="J10" s="466">
        <v>0</v>
      </c>
      <c r="K10" s="467">
        <v>197076000</v>
      </c>
      <c r="L10" s="459" t="s">
        <v>716</v>
      </c>
    </row>
    <row r="11" spans="1:12" ht="50.25" customHeight="1">
      <c r="A11" s="459" t="s">
        <v>8</v>
      </c>
      <c r="B11" s="450" t="s">
        <v>701</v>
      </c>
      <c r="C11" s="459" t="s">
        <v>717</v>
      </c>
      <c r="D11" s="459">
        <v>2019</v>
      </c>
      <c r="E11" s="460">
        <v>0</v>
      </c>
      <c r="F11" s="460">
        <v>0</v>
      </c>
      <c r="G11" s="460">
        <v>0</v>
      </c>
      <c r="H11" s="460">
        <v>0</v>
      </c>
      <c r="I11" s="460">
        <v>0</v>
      </c>
      <c r="J11" s="466">
        <v>0</v>
      </c>
      <c r="K11" s="468">
        <v>6312118000</v>
      </c>
      <c r="L11" s="459" t="s">
        <v>716</v>
      </c>
    </row>
    <row r="12" spans="1:12" ht="26.25" customHeight="1">
      <c r="A12" s="459"/>
      <c r="B12" s="469" t="s">
        <v>718</v>
      </c>
      <c r="C12" s="463"/>
      <c r="D12" s="463"/>
      <c r="E12" s="466">
        <f aca="true" t="shared" si="1" ref="E12:K12">SUM(E10:E11)</f>
        <v>0</v>
      </c>
      <c r="F12" s="466">
        <f t="shared" si="1"/>
        <v>0</v>
      </c>
      <c r="G12" s="466">
        <f t="shared" si="1"/>
        <v>0</v>
      </c>
      <c r="H12" s="466">
        <f t="shared" si="1"/>
        <v>0</v>
      </c>
      <c r="I12" s="466">
        <f t="shared" si="1"/>
        <v>0</v>
      </c>
      <c r="J12" s="466">
        <f t="shared" si="1"/>
        <v>0</v>
      </c>
      <c r="K12" s="470">
        <f t="shared" si="1"/>
        <v>6509194000</v>
      </c>
      <c r="L12" s="463"/>
    </row>
    <row r="13" spans="1:12" ht="71.25" customHeight="1">
      <c r="A13" s="459"/>
      <c r="B13" s="471" t="s">
        <v>719</v>
      </c>
      <c r="C13" s="463"/>
      <c r="D13" s="463"/>
      <c r="E13" s="466">
        <f>E9+E12</f>
        <v>0</v>
      </c>
      <c r="F13" s="466">
        <f aca="true" t="shared" si="2" ref="F13:K13">F9+F12</f>
        <v>0</v>
      </c>
      <c r="G13" s="466">
        <f t="shared" si="2"/>
        <v>0</v>
      </c>
      <c r="H13" s="466">
        <f t="shared" si="2"/>
        <v>0</v>
      </c>
      <c r="I13" s="466">
        <f t="shared" si="2"/>
        <v>0</v>
      </c>
      <c r="J13" s="470">
        <f t="shared" si="2"/>
        <v>0</v>
      </c>
      <c r="K13" s="472">
        <f t="shared" si="2"/>
        <v>6509194000</v>
      </c>
      <c r="L13" s="463"/>
    </row>
  </sheetData>
  <sheetProtection/>
  <mergeCells count="10">
    <mergeCell ref="A1:L1"/>
    <mergeCell ref="L6:L7"/>
    <mergeCell ref="A3:K3"/>
    <mergeCell ref="A6:A7"/>
    <mergeCell ref="B6:B7"/>
    <mergeCell ref="C6:C7"/>
    <mergeCell ref="D6:D7"/>
    <mergeCell ref="F6:I6"/>
    <mergeCell ref="J6:J7"/>
    <mergeCell ref="K6:K7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landscape" paperSize="9" scale="66" r:id="rId1"/>
  <headerFooter alignWithMargins="0">
    <oddHeader>&amp;L&amp;"Times New Roman,Félkövér dőlt"Nagykáta Város Önkormányzata&amp;R&amp;"Times New Roman,Félkövér dőlt"7.4. tájékoztató tábla a 4/2018. (V.30.)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E17"/>
  <sheetViews>
    <sheetView zoomScalePageLayoutView="0" workbookViewId="0" topLeftCell="A1">
      <selection activeCell="E1" sqref="E1:E16"/>
    </sheetView>
  </sheetViews>
  <sheetFormatPr defaultColWidth="9.375" defaultRowHeight="12.75"/>
  <cols>
    <col min="1" max="1" width="9.375" style="181" customWidth="1"/>
    <col min="2" max="2" width="58.50390625" style="181" customWidth="1"/>
    <col min="3" max="3" width="32.625" style="181" customWidth="1"/>
    <col min="4" max="4" width="26.375" style="181" customWidth="1"/>
    <col min="5" max="5" width="15.625" style="181" customWidth="1"/>
    <col min="6" max="7" width="9.375" style="181" customWidth="1"/>
    <col min="8" max="8" width="18.00390625" style="181" customWidth="1"/>
    <col min="9" max="9" width="16.125" style="181" customWidth="1"/>
    <col min="10" max="16384" width="9.375" style="181" customWidth="1"/>
  </cols>
  <sheetData>
    <row r="1" spans="1:5" ht="12.75">
      <c r="A1" s="182"/>
      <c r="E1" s="986" t="str">
        <f>+CONCATENATE("8. tájékoztató tábla a 4/",LEFT(ÖSSZEFÜGGÉSEK!A4,4)+1,". (V.30.) önkormányzati rendelethez")</f>
        <v>8. tájékoztató tábla a 4/2018. (V.30.) önkormányzati rendelethez</v>
      </c>
    </row>
    <row r="2" spans="1:5" ht="33" customHeight="1">
      <c r="A2" s="983" t="str">
        <f>+CONCATENATE("Nagykáta Város Önkormányzat tulajdonában álló gazdálkodó szervezetek működéséből származó",CHAR(10),"kötelezettségek és részesedések alakulása a ",LEFT(ÖSSZEFÜGGÉSEK!A4,4),". évben")</f>
        <v>Nagykáta Város Önkormányzat tulajdonában álló gazdálkodó szervezetek működéséből származó
kötelezettségek és részesedések alakulása a 2017. évben</v>
      </c>
      <c r="B2" s="983"/>
      <c r="C2" s="983"/>
      <c r="D2" s="983"/>
      <c r="E2" s="986"/>
    </row>
    <row r="3" spans="1:5" ht="15.75" thickBot="1">
      <c r="A3" s="183"/>
      <c r="E3" s="986"/>
    </row>
    <row r="4" spans="1:5" ht="31.5" thickBot="1">
      <c r="A4" s="630" t="s">
        <v>214</v>
      </c>
      <c r="B4" s="184" t="s">
        <v>259</v>
      </c>
      <c r="C4" s="184" t="s">
        <v>260</v>
      </c>
      <c r="D4" s="185" t="s">
        <v>959</v>
      </c>
      <c r="E4" s="986"/>
    </row>
    <row r="5" spans="1:5" ht="15">
      <c r="A5" s="186" t="s">
        <v>6</v>
      </c>
      <c r="B5" s="631" t="s">
        <v>948</v>
      </c>
      <c r="C5" s="632">
        <v>370000</v>
      </c>
      <c r="D5" s="189">
        <v>0</v>
      </c>
      <c r="E5" s="986"/>
    </row>
    <row r="6" spans="1:5" ht="15">
      <c r="A6" s="187" t="s">
        <v>7</v>
      </c>
      <c r="B6" s="633" t="s">
        <v>949</v>
      </c>
      <c r="C6" s="634">
        <v>300000</v>
      </c>
      <c r="D6" s="190">
        <v>0</v>
      </c>
      <c r="E6" s="986"/>
    </row>
    <row r="7" spans="1:5" ht="15">
      <c r="A7" s="187" t="s">
        <v>8</v>
      </c>
      <c r="B7" s="631" t="s">
        <v>950</v>
      </c>
      <c r="C7" s="632">
        <v>816000</v>
      </c>
      <c r="D7" s="190">
        <v>0</v>
      </c>
      <c r="E7" s="986"/>
    </row>
    <row r="8" spans="1:5" ht="15">
      <c r="A8" s="187" t="s">
        <v>9</v>
      </c>
      <c r="B8" s="631" t="s">
        <v>951</v>
      </c>
      <c r="C8" s="635">
        <v>9000000</v>
      </c>
      <c r="D8" s="190">
        <v>9000000</v>
      </c>
      <c r="E8" s="986"/>
    </row>
    <row r="9" spans="1:5" ht="15">
      <c r="A9" s="187" t="s">
        <v>10</v>
      </c>
      <c r="B9" s="631" t="s">
        <v>952</v>
      </c>
      <c r="C9" s="632">
        <v>530000</v>
      </c>
      <c r="D9" s="190">
        <v>0</v>
      </c>
      <c r="E9" s="986"/>
    </row>
    <row r="10" spans="1:5" ht="15">
      <c r="A10" s="187" t="s">
        <v>11</v>
      </c>
      <c r="B10" s="631" t="s">
        <v>953</v>
      </c>
      <c r="C10" s="632">
        <v>300000</v>
      </c>
      <c r="D10" s="190">
        <v>300000</v>
      </c>
      <c r="E10" s="986"/>
    </row>
    <row r="11" spans="1:5" ht="15">
      <c r="A11" s="187" t="s">
        <v>12</v>
      </c>
      <c r="B11" s="633" t="s">
        <v>954</v>
      </c>
      <c r="C11" s="636">
        <v>63253249</v>
      </c>
      <c r="D11" s="190">
        <v>58192990</v>
      </c>
      <c r="E11" s="986"/>
    </row>
    <row r="12" spans="1:5" ht="30">
      <c r="A12" s="187" t="s">
        <v>13</v>
      </c>
      <c r="B12" s="631" t="s">
        <v>955</v>
      </c>
      <c r="C12" s="637">
        <v>9419500</v>
      </c>
      <c r="D12" s="190">
        <v>9419500</v>
      </c>
      <c r="E12" s="986"/>
    </row>
    <row r="13" spans="1:5" ht="15">
      <c r="A13" s="187" t="s">
        <v>14</v>
      </c>
      <c r="B13" s="631" t="s">
        <v>956</v>
      </c>
      <c r="C13" s="637">
        <v>3000000</v>
      </c>
      <c r="D13" s="190">
        <v>3000000</v>
      </c>
      <c r="E13" s="986"/>
    </row>
    <row r="14" spans="1:5" ht="15">
      <c r="A14" s="187" t="s">
        <v>15</v>
      </c>
      <c r="B14" s="631" t="s">
        <v>957</v>
      </c>
      <c r="C14" s="637">
        <v>7200</v>
      </c>
      <c r="D14" s="190">
        <v>7200</v>
      </c>
      <c r="E14" s="986"/>
    </row>
    <row r="15" spans="1:5" ht="15.75" thickBot="1">
      <c r="A15" s="187" t="s">
        <v>16</v>
      </c>
      <c r="B15" s="631" t="s">
        <v>958</v>
      </c>
      <c r="C15" s="637">
        <v>3000000</v>
      </c>
      <c r="D15" s="190">
        <v>3000000</v>
      </c>
      <c r="E15" s="986"/>
    </row>
    <row r="16" spans="1:5" ht="15.75" thickBot="1">
      <c r="A16" s="984" t="s">
        <v>261</v>
      </c>
      <c r="B16" s="985"/>
      <c r="C16" s="188">
        <f>IF(SUM(C5:C15)=0,"",SUM(C5:C15))</f>
        <v>89995949</v>
      </c>
      <c r="D16" s="191">
        <f>IF(SUM(D5:D15)=0,"",SUM(D5:D15))</f>
        <v>82919690</v>
      </c>
      <c r="E16" s="986"/>
    </row>
    <row r="17" ht="15">
      <c r="A17" s="183"/>
    </row>
  </sheetData>
  <sheetProtection/>
  <mergeCells count="3">
    <mergeCell ref="A2:D2"/>
    <mergeCell ref="A16:B16"/>
    <mergeCell ref="E1:E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36"/>
  <sheetViews>
    <sheetView tabSelected="1" workbookViewId="0" topLeftCell="L1">
      <selection activeCell="D2" sqref="D2"/>
    </sheetView>
  </sheetViews>
  <sheetFormatPr defaultColWidth="9.375" defaultRowHeight="12.75"/>
  <cols>
    <col min="1" max="1" width="41.00390625" style="8" customWidth="1"/>
    <col min="2" max="3" width="15.75390625" style="8" customWidth="1"/>
    <col min="4" max="4" width="41.125" style="8" customWidth="1"/>
    <col min="5" max="6" width="15.75390625" style="8" customWidth="1"/>
    <col min="7" max="7" width="41.125" style="8" customWidth="1"/>
    <col min="8" max="9" width="15.75390625" style="8" customWidth="1"/>
    <col min="10" max="10" width="41.125" style="8" customWidth="1"/>
    <col min="11" max="12" width="15.75390625" style="8" customWidth="1"/>
    <col min="13" max="13" width="41.50390625" style="8" customWidth="1"/>
    <col min="14" max="15" width="15.75390625" style="8" customWidth="1"/>
    <col min="16" max="16" width="41.375" style="8" customWidth="1"/>
    <col min="17" max="20" width="15.75390625" style="8" customWidth="1"/>
    <col min="21" max="16384" width="9.375" style="8" customWidth="1"/>
  </cols>
  <sheetData>
    <row r="1" spans="1:7" ht="54" customHeight="1">
      <c r="A1" s="992"/>
      <c r="B1" s="992"/>
      <c r="C1" s="180"/>
      <c r="D1" s="180"/>
      <c r="E1" s="180"/>
      <c r="F1" s="180"/>
      <c r="G1" s="180"/>
    </row>
    <row r="2" ht="87.75" customHeight="1" thickBot="1"/>
    <row r="3" spans="1:20" ht="33.75" customHeight="1">
      <c r="A3" s="993" t="s">
        <v>695</v>
      </c>
      <c r="B3" s="994"/>
      <c r="C3" s="995"/>
      <c r="D3" s="989" t="s">
        <v>697</v>
      </c>
      <c r="E3" s="990"/>
      <c r="F3" s="991"/>
      <c r="G3" s="989" t="s">
        <v>853</v>
      </c>
      <c r="H3" s="990"/>
      <c r="I3" s="991"/>
      <c r="J3" s="989" t="s">
        <v>679</v>
      </c>
      <c r="K3" s="990"/>
      <c r="L3" s="991"/>
      <c r="M3" s="989" t="s">
        <v>857</v>
      </c>
      <c r="N3" s="990"/>
      <c r="O3" s="991"/>
      <c r="P3" s="989" t="s">
        <v>854</v>
      </c>
      <c r="Q3" s="990"/>
      <c r="R3" s="991"/>
      <c r="S3" s="987" t="s">
        <v>856</v>
      </c>
      <c r="T3" s="988"/>
    </row>
    <row r="4" spans="1:20" ht="15">
      <c r="A4" s="506" t="s">
        <v>47</v>
      </c>
      <c r="B4" s="504" t="s">
        <v>721</v>
      </c>
      <c r="C4" s="507" t="s">
        <v>722</v>
      </c>
      <c r="D4" s="511" t="s">
        <v>47</v>
      </c>
      <c r="E4" s="505" t="s">
        <v>721</v>
      </c>
      <c r="F4" s="512" t="s">
        <v>722</v>
      </c>
      <c r="G4" s="511" t="s">
        <v>47</v>
      </c>
      <c r="H4" s="505" t="s">
        <v>721</v>
      </c>
      <c r="I4" s="512" t="s">
        <v>722</v>
      </c>
      <c r="J4" s="511" t="s">
        <v>47</v>
      </c>
      <c r="K4" s="505" t="s">
        <v>721</v>
      </c>
      <c r="L4" s="512" t="s">
        <v>722</v>
      </c>
      <c r="M4" s="511" t="s">
        <v>47</v>
      </c>
      <c r="N4" s="505" t="s">
        <v>721</v>
      </c>
      <c r="O4" s="512" t="s">
        <v>722</v>
      </c>
      <c r="P4" s="511" t="s">
        <v>47</v>
      </c>
      <c r="Q4" s="505" t="s">
        <v>721</v>
      </c>
      <c r="R4" s="512" t="s">
        <v>722</v>
      </c>
      <c r="S4" s="513" t="s">
        <v>721</v>
      </c>
      <c r="T4" s="514" t="s">
        <v>722</v>
      </c>
    </row>
    <row r="5" spans="1:20" ht="28.5" customHeight="1">
      <c r="A5" s="473" t="s">
        <v>723</v>
      </c>
      <c r="B5" s="474">
        <v>391604106</v>
      </c>
      <c r="C5" s="475">
        <v>403252330</v>
      </c>
      <c r="D5" s="476" t="s">
        <v>723</v>
      </c>
      <c r="E5" s="477">
        <v>5000</v>
      </c>
      <c r="F5" s="478">
        <v>0</v>
      </c>
      <c r="G5" s="476" t="s">
        <v>723</v>
      </c>
      <c r="H5" s="477">
        <v>0</v>
      </c>
      <c r="I5" s="478">
        <v>0</v>
      </c>
      <c r="J5" s="476" t="s">
        <v>723</v>
      </c>
      <c r="K5" s="477">
        <v>0</v>
      </c>
      <c r="L5" s="478">
        <v>0</v>
      </c>
      <c r="M5" s="476" t="s">
        <v>723</v>
      </c>
      <c r="N5" s="477">
        <v>0</v>
      </c>
      <c r="O5" s="478">
        <v>0</v>
      </c>
      <c r="P5" s="476" t="s">
        <v>723</v>
      </c>
      <c r="Q5" s="477">
        <v>0</v>
      </c>
      <c r="R5" s="478">
        <v>0</v>
      </c>
      <c r="S5" s="498">
        <f>B5+E5+H5+K5+N5+Q5</f>
        <v>391609106</v>
      </c>
      <c r="T5" s="499">
        <f>C5+F5+I5+L5+O5+R5</f>
        <v>403252330</v>
      </c>
    </row>
    <row r="6" spans="1:20" ht="27" customHeight="1">
      <c r="A6" s="473" t="s">
        <v>724</v>
      </c>
      <c r="B6" s="474">
        <v>49993147</v>
      </c>
      <c r="C6" s="475">
        <v>64375638</v>
      </c>
      <c r="D6" s="476" t="s">
        <v>724</v>
      </c>
      <c r="E6" s="477">
        <v>1888127</v>
      </c>
      <c r="F6" s="478">
        <v>1408456</v>
      </c>
      <c r="G6" s="476" t="s">
        <v>724</v>
      </c>
      <c r="H6" s="477">
        <v>-3</v>
      </c>
      <c r="I6" s="478">
        <v>0</v>
      </c>
      <c r="J6" s="476" t="s">
        <v>724</v>
      </c>
      <c r="K6" s="477">
        <v>67641890</v>
      </c>
      <c r="L6" s="478">
        <v>73078177</v>
      </c>
      <c r="M6" s="476" t="s">
        <v>724</v>
      </c>
      <c r="N6" s="477">
        <v>13836457</v>
      </c>
      <c r="O6" s="478">
        <v>14803255</v>
      </c>
      <c r="P6" s="476" t="s">
        <v>724</v>
      </c>
      <c r="Q6" s="477">
        <v>84933</v>
      </c>
      <c r="R6" s="478">
        <v>53334</v>
      </c>
      <c r="S6" s="498">
        <f aca="true" t="shared" si="0" ref="S6:S36">B6+E6+H6+K6+N6+Q6</f>
        <v>133444551</v>
      </c>
      <c r="T6" s="499">
        <f aca="true" t="shared" si="1" ref="T6:T36">C6+F6+I6+L6+O6+R6</f>
        <v>153718860</v>
      </c>
    </row>
    <row r="7" spans="1:20" ht="30.75" customHeight="1">
      <c r="A7" s="473" t="s">
        <v>725</v>
      </c>
      <c r="B7" s="474">
        <v>303976</v>
      </c>
      <c r="C7" s="475">
        <v>0</v>
      </c>
      <c r="D7" s="476" t="s">
        <v>725</v>
      </c>
      <c r="E7" s="477">
        <v>0</v>
      </c>
      <c r="F7" s="478">
        <v>0</v>
      </c>
      <c r="G7" s="476" t="s">
        <v>725</v>
      </c>
      <c r="H7" s="477">
        <v>0</v>
      </c>
      <c r="I7" s="478">
        <v>0</v>
      </c>
      <c r="J7" s="476" t="s">
        <v>725</v>
      </c>
      <c r="K7" s="477">
        <v>0</v>
      </c>
      <c r="L7" s="478">
        <v>0</v>
      </c>
      <c r="M7" s="476" t="s">
        <v>725</v>
      </c>
      <c r="N7" s="477">
        <v>0</v>
      </c>
      <c r="O7" s="478">
        <v>0</v>
      </c>
      <c r="P7" s="476" t="s">
        <v>725</v>
      </c>
      <c r="Q7" s="477">
        <v>0</v>
      </c>
      <c r="R7" s="478">
        <v>0</v>
      </c>
      <c r="S7" s="498">
        <f t="shared" si="0"/>
        <v>303976</v>
      </c>
      <c r="T7" s="499">
        <f t="shared" si="1"/>
        <v>0</v>
      </c>
    </row>
    <row r="8" spans="1:20" ht="45" customHeight="1">
      <c r="A8" s="480" t="s">
        <v>726</v>
      </c>
      <c r="B8" s="481">
        <v>441901229</v>
      </c>
      <c r="C8" s="482">
        <v>467627968</v>
      </c>
      <c r="D8" s="483" t="s">
        <v>726</v>
      </c>
      <c r="E8" s="484">
        <v>1893127</v>
      </c>
      <c r="F8" s="485">
        <v>1408456</v>
      </c>
      <c r="G8" s="483" t="s">
        <v>726</v>
      </c>
      <c r="H8" s="484">
        <v>-3</v>
      </c>
      <c r="I8" s="485">
        <v>0</v>
      </c>
      <c r="J8" s="483" t="s">
        <v>726</v>
      </c>
      <c r="K8" s="484">
        <v>67641890</v>
      </c>
      <c r="L8" s="485">
        <v>73078177</v>
      </c>
      <c r="M8" s="483" t="s">
        <v>726</v>
      </c>
      <c r="N8" s="484">
        <v>13836457</v>
      </c>
      <c r="O8" s="485">
        <v>14803255</v>
      </c>
      <c r="P8" s="483" t="s">
        <v>726</v>
      </c>
      <c r="Q8" s="484">
        <v>84933</v>
      </c>
      <c r="R8" s="485">
        <v>53334</v>
      </c>
      <c r="S8" s="500">
        <f t="shared" si="0"/>
        <v>525357633</v>
      </c>
      <c r="T8" s="501">
        <f t="shared" si="1"/>
        <v>556971190</v>
      </c>
    </row>
    <row r="9" spans="1:20" ht="29.25" customHeight="1">
      <c r="A9" s="473" t="s">
        <v>727</v>
      </c>
      <c r="B9" s="474">
        <v>0</v>
      </c>
      <c r="C9" s="475">
        <v>-598285</v>
      </c>
      <c r="D9" s="476" t="s">
        <v>727</v>
      </c>
      <c r="E9" s="477">
        <v>0</v>
      </c>
      <c r="F9" s="478">
        <v>0</v>
      </c>
      <c r="G9" s="476" t="s">
        <v>727</v>
      </c>
      <c r="H9" s="477">
        <v>0</v>
      </c>
      <c r="I9" s="478">
        <v>0</v>
      </c>
      <c r="J9" s="476" t="s">
        <v>727</v>
      </c>
      <c r="K9" s="477">
        <v>0</v>
      </c>
      <c r="L9" s="478">
        <v>0</v>
      </c>
      <c r="M9" s="476" t="s">
        <v>727</v>
      </c>
      <c r="N9" s="477">
        <v>0</v>
      </c>
      <c r="O9" s="478">
        <v>0</v>
      </c>
      <c r="P9" s="476" t="s">
        <v>727</v>
      </c>
      <c r="Q9" s="477">
        <v>0</v>
      </c>
      <c r="R9" s="478">
        <v>0</v>
      </c>
      <c r="S9" s="498">
        <f t="shared" si="0"/>
        <v>0</v>
      </c>
      <c r="T9" s="499">
        <f t="shared" si="1"/>
        <v>-598285</v>
      </c>
    </row>
    <row r="10" spans="1:20" ht="45" customHeight="1">
      <c r="A10" s="480" t="s">
        <v>728</v>
      </c>
      <c r="B10" s="481">
        <v>0</v>
      </c>
      <c r="C10" s="482">
        <v>-598285</v>
      </c>
      <c r="D10" s="483" t="s">
        <v>728</v>
      </c>
      <c r="E10" s="484">
        <v>0</v>
      </c>
      <c r="F10" s="485">
        <v>0</v>
      </c>
      <c r="G10" s="483" t="s">
        <v>728</v>
      </c>
      <c r="H10" s="484">
        <v>0</v>
      </c>
      <c r="I10" s="485">
        <v>0</v>
      </c>
      <c r="J10" s="483" t="s">
        <v>728</v>
      </c>
      <c r="K10" s="484">
        <v>0</v>
      </c>
      <c r="L10" s="485">
        <v>0</v>
      </c>
      <c r="M10" s="483" t="s">
        <v>728</v>
      </c>
      <c r="N10" s="484">
        <v>0</v>
      </c>
      <c r="O10" s="485">
        <v>0</v>
      </c>
      <c r="P10" s="483" t="s">
        <v>728</v>
      </c>
      <c r="Q10" s="484">
        <v>0</v>
      </c>
      <c r="R10" s="485">
        <v>0</v>
      </c>
      <c r="S10" s="498">
        <f t="shared" si="0"/>
        <v>0</v>
      </c>
      <c r="T10" s="499">
        <f t="shared" si="1"/>
        <v>-598285</v>
      </c>
    </row>
    <row r="11" spans="1:20" ht="67.5" customHeight="1">
      <c r="A11" s="473" t="s">
        <v>729</v>
      </c>
      <c r="B11" s="474">
        <v>588318871</v>
      </c>
      <c r="C11" s="475">
        <v>800261723</v>
      </c>
      <c r="D11" s="476" t="s">
        <v>729</v>
      </c>
      <c r="E11" s="477">
        <v>132695423</v>
      </c>
      <c r="F11" s="478">
        <v>132202070</v>
      </c>
      <c r="G11" s="476" t="s">
        <v>729</v>
      </c>
      <c r="H11" s="477">
        <v>53473011</v>
      </c>
      <c r="I11" s="478">
        <v>60020898</v>
      </c>
      <c r="J11" s="476" t="s">
        <v>729</v>
      </c>
      <c r="K11" s="477">
        <v>290251856</v>
      </c>
      <c r="L11" s="478">
        <v>275756923</v>
      </c>
      <c r="M11" s="476" t="s">
        <v>729</v>
      </c>
      <c r="N11" s="477">
        <v>43372166</v>
      </c>
      <c r="O11" s="478">
        <v>49562225</v>
      </c>
      <c r="P11" s="476" t="s">
        <v>729</v>
      </c>
      <c r="Q11" s="477">
        <v>268543661</v>
      </c>
      <c r="R11" s="478">
        <v>302652066</v>
      </c>
      <c r="S11" s="498">
        <f t="shared" si="0"/>
        <v>1376654988</v>
      </c>
      <c r="T11" s="499">
        <f t="shared" si="1"/>
        <v>1620455905</v>
      </c>
    </row>
    <row r="12" spans="1:20" ht="39" customHeight="1">
      <c r="A12" s="473" t="s">
        <v>730</v>
      </c>
      <c r="B12" s="474">
        <v>25627728</v>
      </c>
      <c r="C12" s="475">
        <v>18302149</v>
      </c>
      <c r="D12" s="476" t="s">
        <v>730</v>
      </c>
      <c r="E12" s="477">
        <v>5845767</v>
      </c>
      <c r="F12" s="478">
        <v>2000000</v>
      </c>
      <c r="G12" s="476" t="s">
        <v>730</v>
      </c>
      <c r="H12" s="477">
        <v>281225</v>
      </c>
      <c r="I12" s="478">
        <v>0</v>
      </c>
      <c r="J12" s="476" t="s">
        <v>730</v>
      </c>
      <c r="K12" s="477">
        <v>164777183</v>
      </c>
      <c r="L12" s="478">
        <v>116664727</v>
      </c>
      <c r="M12" s="476" t="s">
        <v>730</v>
      </c>
      <c r="N12" s="477">
        <v>6572986</v>
      </c>
      <c r="O12" s="478">
        <v>3313505</v>
      </c>
      <c r="P12" s="476" t="s">
        <v>730</v>
      </c>
      <c r="Q12" s="477">
        <v>0</v>
      </c>
      <c r="R12" s="478">
        <v>0</v>
      </c>
      <c r="S12" s="498">
        <f t="shared" si="0"/>
        <v>203104889</v>
      </c>
      <c r="T12" s="499">
        <f t="shared" si="1"/>
        <v>140280381</v>
      </c>
    </row>
    <row r="13" spans="1:20" ht="31.5" customHeight="1">
      <c r="A13" s="473" t="s">
        <v>731</v>
      </c>
      <c r="B13" s="474">
        <v>29446973</v>
      </c>
      <c r="C13" s="475">
        <v>704479138</v>
      </c>
      <c r="D13" s="476" t="s">
        <v>731</v>
      </c>
      <c r="E13" s="477">
        <v>4500000</v>
      </c>
      <c r="F13" s="478">
        <v>0</v>
      </c>
      <c r="G13" s="476" t="s">
        <v>731</v>
      </c>
      <c r="H13" s="477">
        <v>0</v>
      </c>
      <c r="I13" s="478">
        <v>0</v>
      </c>
      <c r="J13" s="476" t="s">
        <v>731</v>
      </c>
      <c r="K13" s="477">
        <v>0</v>
      </c>
      <c r="L13" s="478">
        <v>0</v>
      </c>
      <c r="M13" s="476" t="s">
        <v>731</v>
      </c>
      <c r="N13" s="477">
        <v>0</v>
      </c>
      <c r="O13" s="478">
        <v>0</v>
      </c>
      <c r="P13" s="476" t="s">
        <v>731</v>
      </c>
      <c r="Q13" s="477">
        <v>0</v>
      </c>
      <c r="R13" s="478">
        <v>0</v>
      </c>
      <c r="S13" s="498">
        <f t="shared" si="0"/>
        <v>33946973</v>
      </c>
      <c r="T13" s="499">
        <f t="shared" si="1"/>
        <v>704479138</v>
      </c>
    </row>
    <row r="14" spans="1:20" ht="12.75">
      <c r="A14" s="473" t="s">
        <v>732</v>
      </c>
      <c r="B14" s="474">
        <v>229297950</v>
      </c>
      <c r="C14" s="475">
        <v>506711076</v>
      </c>
      <c r="D14" s="476" t="s">
        <v>732</v>
      </c>
      <c r="E14" s="477">
        <v>12132</v>
      </c>
      <c r="F14" s="478">
        <v>868593</v>
      </c>
      <c r="G14" s="476" t="s">
        <v>732</v>
      </c>
      <c r="H14" s="477">
        <v>7</v>
      </c>
      <c r="I14" s="478">
        <v>165782</v>
      </c>
      <c r="J14" s="476" t="s">
        <v>732</v>
      </c>
      <c r="K14" s="477">
        <v>601130</v>
      </c>
      <c r="L14" s="478">
        <v>85008</v>
      </c>
      <c r="M14" s="476" t="s">
        <v>732</v>
      </c>
      <c r="N14" s="477">
        <v>0</v>
      </c>
      <c r="O14" s="478">
        <v>5166</v>
      </c>
      <c r="P14" s="476" t="s">
        <v>732</v>
      </c>
      <c r="Q14" s="477">
        <v>0</v>
      </c>
      <c r="R14" s="478">
        <v>4367</v>
      </c>
      <c r="S14" s="498">
        <f t="shared" si="0"/>
        <v>229911219</v>
      </c>
      <c r="T14" s="499">
        <f t="shared" si="1"/>
        <v>507839992</v>
      </c>
    </row>
    <row r="15" spans="1:20" ht="26.25">
      <c r="A15" s="480" t="s">
        <v>733</v>
      </c>
      <c r="B15" s="481">
        <v>872691522</v>
      </c>
      <c r="C15" s="482">
        <v>2029754086</v>
      </c>
      <c r="D15" s="483" t="s">
        <v>733</v>
      </c>
      <c r="E15" s="484">
        <v>143053322</v>
      </c>
      <c r="F15" s="485">
        <v>135070663</v>
      </c>
      <c r="G15" s="483" t="s">
        <v>733</v>
      </c>
      <c r="H15" s="484">
        <v>53754243</v>
      </c>
      <c r="I15" s="485">
        <v>60186680</v>
      </c>
      <c r="J15" s="483" t="s">
        <v>733</v>
      </c>
      <c r="K15" s="484">
        <v>455630169</v>
      </c>
      <c r="L15" s="485">
        <v>392506658</v>
      </c>
      <c r="M15" s="483" t="s">
        <v>733</v>
      </c>
      <c r="N15" s="484">
        <v>49945152</v>
      </c>
      <c r="O15" s="485">
        <v>52880896</v>
      </c>
      <c r="P15" s="483" t="s">
        <v>733</v>
      </c>
      <c r="Q15" s="484">
        <v>268543661</v>
      </c>
      <c r="R15" s="485">
        <v>302656433</v>
      </c>
      <c r="S15" s="500">
        <f t="shared" si="0"/>
        <v>1843618069</v>
      </c>
      <c r="T15" s="501">
        <f t="shared" si="1"/>
        <v>2973055416</v>
      </c>
    </row>
    <row r="16" spans="1:20" ht="12.75">
      <c r="A16" s="473" t="s">
        <v>734</v>
      </c>
      <c r="B16" s="474">
        <v>3772423</v>
      </c>
      <c r="C16" s="475">
        <v>2435133</v>
      </c>
      <c r="D16" s="476" t="s">
        <v>734</v>
      </c>
      <c r="E16" s="477">
        <v>1986881</v>
      </c>
      <c r="F16" s="478">
        <v>2445765</v>
      </c>
      <c r="G16" s="476" t="s">
        <v>734</v>
      </c>
      <c r="H16" s="477">
        <v>851892</v>
      </c>
      <c r="I16" s="478">
        <v>911668</v>
      </c>
      <c r="J16" s="476" t="s">
        <v>734</v>
      </c>
      <c r="K16" s="477">
        <v>92441182</v>
      </c>
      <c r="L16" s="478">
        <v>86753265</v>
      </c>
      <c r="M16" s="476" t="s">
        <v>734</v>
      </c>
      <c r="N16" s="477">
        <v>4901538</v>
      </c>
      <c r="O16" s="478">
        <v>4596730</v>
      </c>
      <c r="P16" s="476" t="s">
        <v>734</v>
      </c>
      <c r="Q16" s="477">
        <v>994821</v>
      </c>
      <c r="R16" s="478">
        <v>1145303</v>
      </c>
      <c r="S16" s="498">
        <f t="shared" si="0"/>
        <v>104948737</v>
      </c>
      <c r="T16" s="499">
        <f t="shared" si="1"/>
        <v>98287864</v>
      </c>
    </row>
    <row r="17" spans="1:20" ht="12.75">
      <c r="A17" s="473" t="s">
        <v>735</v>
      </c>
      <c r="B17" s="474">
        <v>58206195</v>
      </c>
      <c r="C17" s="475">
        <v>76816997</v>
      </c>
      <c r="D17" s="476" t="s">
        <v>735</v>
      </c>
      <c r="E17" s="477">
        <v>15549441</v>
      </c>
      <c r="F17" s="478">
        <v>15936231</v>
      </c>
      <c r="G17" s="476" t="s">
        <v>735</v>
      </c>
      <c r="H17" s="477">
        <v>2704375</v>
      </c>
      <c r="I17" s="478">
        <v>5871029</v>
      </c>
      <c r="J17" s="476" t="s">
        <v>735</v>
      </c>
      <c r="K17" s="477">
        <v>67147921</v>
      </c>
      <c r="L17" s="478">
        <v>33753894</v>
      </c>
      <c r="M17" s="476" t="s">
        <v>735</v>
      </c>
      <c r="N17" s="477">
        <v>18032986</v>
      </c>
      <c r="O17" s="478">
        <v>18264054</v>
      </c>
      <c r="P17" s="476" t="s">
        <v>735</v>
      </c>
      <c r="Q17" s="477">
        <v>8165316</v>
      </c>
      <c r="R17" s="478">
        <v>9008722</v>
      </c>
      <c r="S17" s="498">
        <f t="shared" si="0"/>
        <v>169806234</v>
      </c>
      <c r="T17" s="499">
        <f t="shared" si="1"/>
        <v>159650927</v>
      </c>
    </row>
    <row r="18" spans="1:20" ht="12.75">
      <c r="A18" s="473" t="s">
        <v>736</v>
      </c>
      <c r="B18" s="474">
        <v>0</v>
      </c>
      <c r="C18" s="475">
        <v>0</v>
      </c>
      <c r="D18" s="476" t="s">
        <v>736</v>
      </c>
      <c r="E18" s="477">
        <v>0</v>
      </c>
      <c r="F18" s="478">
        <v>0</v>
      </c>
      <c r="G18" s="476" t="s">
        <v>736</v>
      </c>
      <c r="H18" s="477">
        <v>0</v>
      </c>
      <c r="I18" s="478">
        <v>0</v>
      </c>
      <c r="J18" s="476" t="s">
        <v>736</v>
      </c>
      <c r="K18" s="477">
        <v>0</v>
      </c>
      <c r="L18" s="478">
        <v>0</v>
      </c>
      <c r="M18" s="476" t="s">
        <v>736</v>
      </c>
      <c r="N18" s="477">
        <v>0</v>
      </c>
      <c r="O18" s="478">
        <v>0</v>
      </c>
      <c r="P18" s="476" t="s">
        <v>736</v>
      </c>
      <c r="Q18" s="477">
        <v>0</v>
      </c>
      <c r="R18" s="478">
        <v>0</v>
      </c>
      <c r="S18" s="498">
        <f t="shared" si="0"/>
        <v>0</v>
      </c>
      <c r="T18" s="499">
        <f t="shared" si="1"/>
        <v>0</v>
      </c>
    </row>
    <row r="19" spans="1:20" ht="12.75">
      <c r="A19" s="473" t="s">
        <v>737</v>
      </c>
      <c r="B19" s="474">
        <v>11778140</v>
      </c>
      <c r="C19" s="475">
        <v>9998213</v>
      </c>
      <c r="D19" s="476" t="s">
        <v>737</v>
      </c>
      <c r="E19" s="477">
        <v>1618984</v>
      </c>
      <c r="F19" s="478">
        <v>901770</v>
      </c>
      <c r="G19" s="476" t="s">
        <v>737</v>
      </c>
      <c r="H19" s="477">
        <v>0</v>
      </c>
      <c r="I19" s="478">
        <v>0</v>
      </c>
      <c r="J19" s="476" t="s">
        <v>737</v>
      </c>
      <c r="K19" s="477">
        <v>14084045</v>
      </c>
      <c r="L19" s="478">
        <v>15415774</v>
      </c>
      <c r="M19" s="476" t="s">
        <v>737</v>
      </c>
      <c r="N19" s="477">
        <v>0</v>
      </c>
      <c r="O19" s="478">
        <v>0</v>
      </c>
      <c r="P19" s="476" t="s">
        <v>737</v>
      </c>
      <c r="Q19" s="477">
        <v>0</v>
      </c>
      <c r="R19" s="478">
        <v>0</v>
      </c>
      <c r="S19" s="498">
        <f t="shared" si="0"/>
        <v>27481169</v>
      </c>
      <c r="T19" s="499">
        <f t="shared" si="1"/>
        <v>26315757</v>
      </c>
    </row>
    <row r="20" spans="1:20" ht="12.75">
      <c r="A20" s="480" t="s">
        <v>738</v>
      </c>
      <c r="B20" s="481">
        <v>73756758</v>
      </c>
      <c r="C20" s="482">
        <v>89250343</v>
      </c>
      <c r="D20" s="483" t="s">
        <v>738</v>
      </c>
      <c r="E20" s="484">
        <v>19155306</v>
      </c>
      <c r="F20" s="485">
        <v>19283766</v>
      </c>
      <c r="G20" s="483" t="s">
        <v>738</v>
      </c>
      <c r="H20" s="484">
        <v>3556267</v>
      </c>
      <c r="I20" s="485">
        <v>6782697</v>
      </c>
      <c r="J20" s="483" t="s">
        <v>738</v>
      </c>
      <c r="K20" s="484">
        <v>173673148</v>
      </c>
      <c r="L20" s="485">
        <v>135922933</v>
      </c>
      <c r="M20" s="483" t="s">
        <v>738</v>
      </c>
      <c r="N20" s="484">
        <v>22934524</v>
      </c>
      <c r="O20" s="485">
        <v>22860784</v>
      </c>
      <c r="P20" s="483" t="s">
        <v>738</v>
      </c>
      <c r="Q20" s="484">
        <v>9160137</v>
      </c>
      <c r="R20" s="485">
        <v>10154025</v>
      </c>
      <c r="S20" s="500">
        <f t="shared" si="0"/>
        <v>302236140</v>
      </c>
      <c r="T20" s="501">
        <f t="shared" si="1"/>
        <v>284254548</v>
      </c>
    </row>
    <row r="21" spans="1:20" ht="12.75">
      <c r="A21" s="473" t="s">
        <v>739</v>
      </c>
      <c r="B21" s="474">
        <v>12618244</v>
      </c>
      <c r="C21" s="475">
        <v>13381030</v>
      </c>
      <c r="D21" s="476" t="s">
        <v>739</v>
      </c>
      <c r="E21" s="477">
        <v>74368270</v>
      </c>
      <c r="F21" s="478">
        <v>84257263</v>
      </c>
      <c r="G21" s="476" t="s">
        <v>739</v>
      </c>
      <c r="H21" s="477">
        <v>30147860</v>
      </c>
      <c r="I21" s="478">
        <v>46218580</v>
      </c>
      <c r="J21" s="476" t="s">
        <v>739</v>
      </c>
      <c r="K21" s="477">
        <v>232307895</v>
      </c>
      <c r="L21" s="478">
        <v>224869433</v>
      </c>
      <c r="M21" s="476" t="s">
        <v>739</v>
      </c>
      <c r="N21" s="477">
        <v>26074890</v>
      </c>
      <c r="O21" s="478">
        <v>30221665</v>
      </c>
      <c r="P21" s="476" t="s">
        <v>739</v>
      </c>
      <c r="Q21" s="477">
        <v>184536219</v>
      </c>
      <c r="R21" s="478">
        <v>217045302</v>
      </c>
      <c r="S21" s="498">
        <f t="shared" si="0"/>
        <v>560053378</v>
      </c>
      <c r="T21" s="499">
        <f t="shared" si="1"/>
        <v>615993273</v>
      </c>
    </row>
    <row r="22" spans="1:20" ht="12.75">
      <c r="A22" s="473" t="s">
        <v>740</v>
      </c>
      <c r="B22" s="474">
        <v>29453143</v>
      </c>
      <c r="C22" s="475">
        <v>32394189</v>
      </c>
      <c r="D22" s="476" t="s">
        <v>740</v>
      </c>
      <c r="E22" s="477">
        <v>14052934</v>
      </c>
      <c r="F22" s="478">
        <v>9828310</v>
      </c>
      <c r="G22" s="476" t="s">
        <v>740</v>
      </c>
      <c r="H22" s="477">
        <v>3278358</v>
      </c>
      <c r="I22" s="478">
        <v>4259178</v>
      </c>
      <c r="J22" s="476" t="s">
        <v>740</v>
      </c>
      <c r="K22" s="477">
        <v>9953388</v>
      </c>
      <c r="L22" s="478">
        <v>10127439</v>
      </c>
      <c r="M22" s="476" t="s">
        <v>740</v>
      </c>
      <c r="N22" s="477">
        <v>1735179</v>
      </c>
      <c r="O22" s="478">
        <v>2543506</v>
      </c>
      <c r="P22" s="476" t="s">
        <v>740</v>
      </c>
      <c r="Q22" s="477">
        <v>14591497</v>
      </c>
      <c r="R22" s="478">
        <v>21935294</v>
      </c>
      <c r="S22" s="498">
        <f t="shared" si="0"/>
        <v>73064499</v>
      </c>
      <c r="T22" s="499">
        <f t="shared" si="1"/>
        <v>81087916</v>
      </c>
    </row>
    <row r="23" spans="1:20" ht="12.75">
      <c r="A23" s="473" t="s">
        <v>741</v>
      </c>
      <c r="B23" s="474">
        <v>12155750</v>
      </c>
      <c r="C23" s="475">
        <v>10388341</v>
      </c>
      <c r="D23" s="476" t="s">
        <v>741</v>
      </c>
      <c r="E23" s="477">
        <v>25868725</v>
      </c>
      <c r="F23" s="478">
        <v>21203074</v>
      </c>
      <c r="G23" s="476" t="s">
        <v>741</v>
      </c>
      <c r="H23" s="477">
        <v>8867250</v>
      </c>
      <c r="I23" s="478">
        <v>11389458</v>
      </c>
      <c r="J23" s="476" t="s">
        <v>741</v>
      </c>
      <c r="K23" s="477">
        <v>57977252</v>
      </c>
      <c r="L23" s="478">
        <v>48957662</v>
      </c>
      <c r="M23" s="476" t="s">
        <v>741</v>
      </c>
      <c r="N23" s="477">
        <v>6775837</v>
      </c>
      <c r="O23" s="478">
        <v>7062100</v>
      </c>
      <c r="P23" s="476" t="s">
        <v>741</v>
      </c>
      <c r="Q23" s="477">
        <v>58092394</v>
      </c>
      <c r="R23" s="478">
        <v>55001591</v>
      </c>
      <c r="S23" s="498">
        <f t="shared" si="0"/>
        <v>169737208</v>
      </c>
      <c r="T23" s="499">
        <f t="shared" si="1"/>
        <v>154002226</v>
      </c>
    </row>
    <row r="24" spans="1:20" ht="12.75">
      <c r="A24" s="480" t="s">
        <v>742</v>
      </c>
      <c r="B24" s="481">
        <v>54227137</v>
      </c>
      <c r="C24" s="482">
        <v>56163560</v>
      </c>
      <c r="D24" s="483" t="s">
        <v>742</v>
      </c>
      <c r="E24" s="484">
        <v>114289929</v>
      </c>
      <c r="F24" s="485">
        <v>115288647</v>
      </c>
      <c r="G24" s="483" t="s">
        <v>742</v>
      </c>
      <c r="H24" s="484">
        <v>42293468</v>
      </c>
      <c r="I24" s="485">
        <v>61867216</v>
      </c>
      <c r="J24" s="483" t="s">
        <v>742</v>
      </c>
      <c r="K24" s="484">
        <v>300238535</v>
      </c>
      <c r="L24" s="485">
        <v>283954534</v>
      </c>
      <c r="M24" s="483" t="s">
        <v>742</v>
      </c>
      <c r="N24" s="484">
        <v>34585906</v>
      </c>
      <c r="O24" s="485">
        <v>39827271</v>
      </c>
      <c r="P24" s="483" t="s">
        <v>742</v>
      </c>
      <c r="Q24" s="484">
        <v>257220110</v>
      </c>
      <c r="R24" s="485">
        <v>293982187</v>
      </c>
      <c r="S24" s="500">
        <f t="shared" si="0"/>
        <v>802855085</v>
      </c>
      <c r="T24" s="501">
        <f t="shared" si="1"/>
        <v>851083415</v>
      </c>
    </row>
    <row r="25" spans="1:20" ht="12.75">
      <c r="A25" s="480" t="s">
        <v>743</v>
      </c>
      <c r="B25" s="481">
        <v>260680170</v>
      </c>
      <c r="C25" s="482">
        <v>292760293</v>
      </c>
      <c r="D25" s="483" t="s">
        <v>743</v>
      </c>
      <c r="E25" s="484">
        <v>10276286</v>
      </c>
      <c r="F25" s="485">
        <v>3184482</v>
      </c>
      <c r="G25" s="483" t="s">
        <v>743</v>
      </c>
      <c r="H25" s="484">
        <v>1344529</v>
      </c>
      <c r="I25" s="485">
        <v>1380047</v>
      </c>
      <c r="J25" s="483" t="s">
        <v>743</v>
      </c>
      <c r="K25" s="484">
        <v>13694973</v>
      </c>
      <c r="L25" s="485">
        <v>7130460</v>
      </c>
      <c r="M25" s="483" t="s">
        <v>743</v>
      </c>
      <c r="N25" s="484">
        <v>10904085</v>
      </c>
      <c r="O25" s="485">
        <v>1772081</v>
      </c>
      <c r="P25" s="483" t="s">
        <v>743</v>
      </c>
      <c r="Q25" s="484">
        <v>1820686</v>
      </c>
      <c r="R25" s="485">
        <v>1175139</v>
      </c>
      <c r="S25" s="500">
        <f t="shared" si="0"/>
        <v>298720729</v>
      </c>
      <c r="T25" s="501">
        <f t="shared" si="1"/>
        <v>307402502</v>
      </c>
    </row>
    <row r="26" spans="1:20" ht="12.75">
      <c r="A26" s="480" t="s">
        <v>744</v>
      </c>
      <c r="B26" s="481">
        <v>1023138629</v>
      </c>
      <c r="C26" s="482">
        <v>1249741556</v>
      </c>
      <c r="D26" s="483" t="s">
        <v>744</v>
      </c>
      <c r="E26" s="484">
        <v>5483959</v>
      </c>
      <c r="F26" s="485">
        <v>33253695</v>
      </c>
      <c r="G26" s="483" t="s">
        <v>744</v>
      </c>
      <c r="H26" s="484">
        <v>1379242</v>
      </c>
      <c r="I26" s="485">
        <v>2700</v>
      </c>
      <c r="J26" s="483" t="s">
        <v>744</v>
      </c>
      <c r="K26" s="484">
        <v>41012912</v>
      </c>
      <c r="L26" s="485">
        <v>25519135</v>
      </c>
      <c r="M26" s="483" t="s">
        <v>744</v>
      </c>
      <c r="N26" s="484">
        <v>5190372</v>
      </c>
      <c r="O26" s="485">
        <v>4275590</v>
      </c>
      <c r="P26" s="483" t="s">
        <v>744</v>
      </c>
      <c r="Q26" s="484">
        <v>3330960</v>
      </c>
      <c r="R26" s="485">
        <v>2405640</v>
      </c>
      <c r="S26" s="500">
        <f t="shared" si="0"/>
        <v>1079536074</v>
      </c>
      <c r="T26" s="501">
        <f t="shared" si="1"/>
        <v>1315198316</v>
      </c>
    </row>
    <row r="27" spans="1:20" ht="26.25">
      <c r="A27" s="480" t="s">
        <v>745</v>
      </c>
      <c r="B27" s="481">
        <v>-97209943</v>
      </c>
      <c r="C27" s="482">
        <v>808868017</v>
      </c>
      <c r="D27" s="483" t="s">
        <v>745</v>
      </c>
      <c r="E27" s="484">
        <v>-4259031</v>
      </c>
      <c r="F27" s="485">
        <v>-34531471</v>
      </c>
      <c r="G27" s="483" t="s">
        <v>745</v>
      </c>
      <c r="H27" s="484">
        <v>5180734</v>
      </c>
      <c r="I27" s="485">
        <v>-9845980</v>
      </c>
      <c r="J27" s="483" t="s">
        <v>745</v>
      </c>
      <c r="K27" s="484">
        <v>-5347509</v>
      </c>
      <c r="L27" s="485">
        <v>13057773</v>
      </c>
      <c r="M27" s="483" t="s">
        <v>745</v>
      </c>
      <c r="N27" s="484">
        <v>-9833278</v>
      </c>
      <c r="O27" s="485">
        <v>-1051575</v>
      </c>
      <c r="P27" s="483" t="s">
        <v>745</v>
      </c>
      <c r="Q27" s="484">
        <v>-2903299</v>
      </c>
      <c r="R27" s="485">
        <v>-5007224</v>
      </c>
      <c r="S27" s="500">
        <f t="shared" si="0"/>
        <v>-114372326</v>
      </c>
      <c r="T27" s="501">
        <f t="shared" si="1"/>
        <v>771489540</v>
      </c>
    </row>
    <row r="28" spans="1:20" ht="26.25">
      <c r="A28" s="473" t="s">
        <v>746</v>
      </c>
      <c r="B28" s="474">
        <v>740875</v>
      </c>
      <c r="C28" s="475">
        <v>4992</v>
      </c>
      <c r="D28" s="476" t="s">
        <v>746</v>
      </c>
      <c r="E28" s="477">
        <v>1709</v>
      </c>
      <c r="F28" s="478">
        <v>88</v>
      </c>
      <c r="G28" s="476" t="s">
        <v>746</v>
      </c>
      <c r="H28" s="477">
        <v>1713</v>
      </c>
      <c r="I28" s="478">
        <v>57</v>
      </c>
      <c r="J28" s="476" t="s">
        <v>746</v>
      </c>
      <c r="K28" s="477">
        <v>24294</v>
      </c>
      <c r="L28" s="478">
        <v>233</v>
      </c>
      <c r="M28" s="476" t="s">
        <v>746</v>
      </c>
      <c r="N28" s="477">
        <v>6177</v>
      </c>
      <c r="O28" s="478">
        <v>64</v>
      </c>
      <c r="P28" s="476" t="s">
        <v>746</v>
      </c>
      <c r="Q28" s="477">
        <v>1186</v>
      </c>
      <c r="R28" s="478">
        <v>1</v>
      </c>
      <c r="S28" s="498">
        <f t="shared" si="0"/>
        <v>775954</v>
      </c>
      <c r="T28" s="499">
        <f t="shared" si="1"/>
        <v>5435</v>
      </c>
    </row>
    <row r="29" spans="1:20" ht="26.25">
      <c r="A29" s="473" t="s">
        <v>747</v>
      </c>
      <c r="B29" s="474">
        <v>0</v>
      </c>
      <c r="C29" s="475">
        <v>695</v>
      </c>
      <c r="D29" s="476" t="s">
        <v>747</v>
      </c>
      <c r="E29" s="477">
        <v>0</v>
      </c>
      <c r="F29" s="478">
        <v>0</v>
      </c>
      <c r="G29" s="476" t="s">
        <v>747</v>
      </c>
      <c r="H29" s="477">
        <v>0</v>
      </c>
      <c r="I29" s="478">
        <v>0</v>
      </c>
      <c r="J29" s="476" t="s">
        <v>747</v>
      </c>
      <c r="K29" s="477">
        <v>0</v>
      </c>
      <c r="L29" s="478">
        <v>0</v>
      </c>
      <c r="M29" s="476" t="s">
        <v>747</v>
      </c>
      <c r="N29" s="477">
        <v>0</v>
      </c>
      <c r="O29" s="478">
        <v>0</v>
      </c>
      <c r="P29" s="476" t="s">
        <v>747</v>
      </c>
      <c r="Q29" s="477">
        <v>0</v>
      </c>
      <c r="R29" s="478">
        <v>0</v>
      </c>
      <c r="S29" s="498">
        <f t="shared" si="0"/>
        <v>0</v>
      </c>
      <c r="T29" s="499">
        <f t="shared" si="1"/>
        <v>695</v>
      </c>
    </row>
    <row r="30" spans="1:20" ht="26.25">
      <c r="A30" s="480" t="s">
        <v>748</v>
      </c>
      <c r="B30" s="481">
        <v>740875</v>
      </c>
      <c r="C30" s="482">
        <v>5687</v>
      </c>
      <c r="D30" s="483" t="s">
        <v>748</v>
      </c>
      <c r="E30" s="484">
        <v>1709</v>
      </c>
      <c r="F30" s="485">
        <v>88</v>
      </c>
      <c r="G30" s="483" t="s">
        <v>748</v>
      </c>
      <c r="H30" s="484">
        <v>1713</v>
      </c>
      <c r="I30" s="485">
        <v>57</v>
      </c>
      <c r="J30" s="483" t="s">
        <v>748</v>
      </c>
      <c r="K30" s="484">
        <v>24294</v>
      </c>
      <c r="L30" s="485">
        <v>233</v>
      </c>
      <c r="M30" s="483" t="s">
        <v>748</v>
      </c>
      <c r="N30" s="484">
        <v>6177</v>
      </c>
      <c r="O30" s="485">
        <v>64</v>
      </c>
      <c r="P30" s="483" t="s">
        <v>748</v>
      </c>
      <c r="Q30" s="484">
        <v>1186</v>
      </c>
      <c r="R30" s="485">
        <v>1</v>
      </c>
      <c r="S30" s="500">
        <f t="shared" si="0"/>
        <v>775954</v>
      </c>
      <c r="T30" s="501">
        <f t="shared" si="1"/>
        <v>6130</v>
      </c>
    </row>
    <row r="31" spans="1:20" ht="12.75">
      <c r="A31" s="473" t="s">
        <v>749</v>
      </c>
      <c r="B31" s="474">
        <v>2488</v>
      </c>
      <c r="C31" s="475">
        <v>22331</v>
      </c>
      <c r="D31" s="476" t="s">
        <v>749</v>
      </c>
      <c r="E31" s="477">
        <v>0</v>
      </c>
      <c r="F31" s="478">
        <v>0</v>
      </c>
      <c r="G31" s="476" t="s">
        <v>749</v>
      </c>
      <c r="H31" s="477">
        <v>0</v>
      </c>
      <c r="I31" s="478">
        <v>0</v>
      </c>
      <c r="J31" s="476" t="s">
        <v>749</v>
      </c>
      <c r="K31" s="477">
        <v>0</v>
      </c>
      <c r="L31" s="478">
        <v>0</v>
      </c>
      <c r="M31" s="476" t="s">
        <v>749</v>
      </c>
      <c r="N31" s="477">
        <v>0</v>
      </c>
      <c r="O31" s="478">
        <v>0</v>
      </c>
      <c r="P31" s="476" t="s">
        <v>749</v>
      </c>
      <c r="Q31" s="477">
        <v>0</v>
      </c>
      <c r="R31" s="478">
        <v>0</v>
      </c>
      <c r="S31" s="498">
        <f t="shared" si="0"/>
        <v>2488</v>
      </c>
      <c r="T31" s="499">
        <f t="shared" si="1"/>
        <v>22331</v>
      </c>
    </row>
    <row r="32" spans="1:20" ht="26.25">
      <c r="A32" s="473" t="s">
        <v>750</v>
      </c>
      <c r="B32" s="474">
        <v>0</v>
      </c>
      <c r="C32" s="475">
        <v>0</v>
      </c>
      <c r="D32" s="476" t="s">
        <v>750</v>
      </c>
      <c r="E32" s="477">
        <v>0</v>
      </c>
      <c r="F32" s="478">
        <v>0</v>
      </c>
      <c r="G32" s="476" t="s">
        <v>750</v>
      </c>
      <c r="H32" s="477">
        <v>0</v>
      </c>
      <c r="I32" s="478">
        <v>0</v>
      </c>
      <c r="J32" s="476" t="s">
        <v>750</v>
      </c>
      <c r="K32" s="477">
        <v>0</v>
      </c>
      <c r="L32" s="478">
        <v>0</v>
      </c>
      <c r="M32" s="476" t="s">
        <v>750</v>
      </c>
      <c r="N32" s="477">
        <v>0</v>
      </c>
      <c r="O32" s="478">
        <v>0</v>
      </c>
      <c r="P32" s="476" t="s">
        <v>750</v>
      </c>
      <c r="Q32" s="477">
        <v>0</v>
      </c>
      <c r="R32" s="478">
        <v>0</v>
      </c>
      <c r="S32" s="498">
        <f t="shared" si="0"/>
        <v>0</v>
      </c>
      <c r="T32" s="499">
        <f t="shared" si="1"/>
        <v>0</v>
      </c>
    </row>
    <row r="33" spans="1:20" ht="26.25">
      <c r="A33" s="473" t="s">
        <v>751</v>
      </c>
      <c r="B33" s="474">
        <v>0</v>
      </c>
      <c r="C33" s="475">
        <v>0</v>
      </c>
      <c r="D33" s="476" t="s">
        <v>751</v>
      </c>
      <c r="E33" s="477">
        <v>0</v>
      </c>
      <c r="F33" s="478">
        <v>1451</v>
      </c>
      <c r="G33" s="476" t="s">
        <v>751</v>
      </c>
      <c r="H33" s="477">
        <v>0</v>
      </c>
      <c r="I33" s="478">
        <v>0</v>
      </c>
      <c r="J33" s="476" t="s">
        <v>751</v>
      </c>
      <c r="K33" s="477">
        <v>0</v>
      </c>
      <c r="L33" s="478">
        <v>0</v>
      </c>
      <c r="M33" s="476" t="s">
        <v>751</v>
      </c>
      <c r="N33" s="477">
        <v>0</v>
      </c>
      <c r="O33" s="478">
        <v>0</v>
      </c>
      <c r="P33" s="476" t="s">
        <v>751</v>
      </c>
      <c r="Q33" s="477">
        <v>0</v>
      </c>
      <c r="R33" s="478">
        <v>0</v>
      </c>
      <c r="S33" s="498">
        <f t="shared" si="0"/>
        <v>0</v>
      </c>
      <c r="T33" s="499">
        <f t="shared" si="1"/>
        <v>1451</v>
      </c>
    </row>
    <row r="34" spans="1:20" ht="26.25">
      <c r="A34" s="480" t="s">
        <v>752</v>
      </c>
      <c r="B34" s="481">
        <v>2488</v>
      </c>
      <c r="C34" s="482">
        <v>22331</v>
      </c>
      <c r="D34" s="483" t="s">
        <v>752</v>
      </c>
      <c r="E34" s="484">
        <v>0</v>
      </c>
      <c r="F34" s="485">
        <v>1451</v>
      </c>
      <c r="G34" s="483" t="s">
        <v>752</v>
      </c>
      <c r="H34" s="484">
        <v>0</v>
      </c>
      <c r="I34" s="485">
        <v>0</v>
      </c>
      <c r="J34" s="483" t="s">
        <v>752</v>
      </c>
      <c r="K34" s="484">
        <v>0</v>
      </c>
      <c r="L34" s="485">
        <v>0</v>
      </c>
      <c r="M34" s="483" t="s">
        <v>752</v>
      </c>
      <c r="N34" s="484">
        <v>0</v>
      </c>
      <c r="O34" s="485">
        <v>0</v>
      </c>
      <c r="P34" s="483" t="s">
        <v>752</v>
      </c>
      <c r="Q34" s="484">
        <v>0</v>
      </c>
      <c r="R34" s="485">
        <v>0</v>
      </c>
      <c r="S34" s="500">
        <f t="shared" si="0"/>
        <v>2488</v>
      </c>
      <c r="T34" s="501">
        <f t="shared" si="1"/>
        <v>23782</v>
      </c>
    </row>
    <row r="35" spans="1:20" ht="26.25">
      <c r="A35" s="480" t="s">
        <v>753</v>
      </c>
      <c r="B35" s="481">
        <v>738387</v>
      </c>
      <c r="C35" s="482">
        <v>-16644</v>
      </c>
      <c r="D35" s="483" t="s">
        <v>753</v>
      </c>
      <c r="E35" s="484">
        <v>1709</v>
      </c>
      <c r="F35" s="485">
        <v>-1363</v>
      </c>
      <c r="G35" s="483" t="s">
        <v>753</v>
      </c>
      <c r="H35" s="484">
        <v>1713</v>
      </c>
      <c r="I35" s="485">
        <v>57</v>
      </c>
      <c r="J35" s="483" t="s">
        <v>753</v>
      </c>
      <c r="K35" s="484">
        <v>24294</v>
      </c>
      <c r="L35" s="485">
        <v>233</v>
      </c>
      <c r="M35" s="483" t="s">
        <v>753</v>
      </c>
      <c r="N35" s="484">
        <v>6177</v>
      </c>
      <c r="O35" s="485">
        <v>64</v>
      </c>
      <c r="P35" s="483" t="s">
        <v>753</v>
      </c>
      <c r="Q35" s="484">
        <v>1186</v>
      </c>
      <c r="R35" s="485">
        <v>1</v>
      </c>
      <c r="S35" s="500">
        <f t="shared" si="0"/>
        <v>773466</v>
      </c>
      <c r="T35" s="501">
        <f t="shared" si="1"/>
        <v>-17652</v>
      </c>
    </row>
    <row r="36" spans="1:20" ht="13.5" thickBot="1">
      <c r="A36" s="508" t="s">
        <v>754</v>
      </c>
      <c r="B36" s="509">
        <v>-96471556</v>
      </c>
      <c r="C36" s="510">
        <v>808851373</v>
      </c>
      <c r="D36" s="486" t="s">
        <v>754</v>
      </c>
      <c r="E36" s="487">
        <v>-4257322</v>
      </c>
      <c r="F36" s="488">
        <v>-34532834</v>
      </c>
      <c r="G36" s="486" t="s">
        <v>754</v>
      </c>
      <c r="H36" s="487">
        <v>5182447</v>
      </c>
      <c r="I36" s="488">
        <v>-9845923</v>
      </c>
      <c r="J36" s="486" t="s">
        <v>754</v>
      </c>
      <c r="K36" s="487">
        <v>-5323215</v>
      </c>
      <c r="L36" s="488">
        <v>13058006</v>
      </c>
      <c r="M36" s="486" t="s">
        <v>754</v>
      </c>
      <c r="N36" s="487">
        <v>-9827101</v>
      </c>
      <c r="O36" s="488">
        <v>-1051511</v>
      </c>
      <c r="P36" s="486" t="s">
        <v>754</v>
      </c>
      <c r="Q36" s="487">
        <v>-2902113</v>
      </c>
      <c r="R36" s="488">
        <v>-5007223</v>
      </c>
      <c r="S36" s="502">
        <f t="shared" si="0"/>
        <v>-113598860</v>
      </c>
      <c r="T36" s="503">
        <f t="shared" si="1"/>
        <v>771471888</v>
      </c>
    </row>
  </sheetData>
  <sheetProtection/>
  <mergeCells count="8">
    <mergeCell ref="S3:T3"/>
    <mergeCell ref="P3:R3"/>
    <mergeCell ref="A1:B1"/>
    <mergeCell ref="A3:C3"/>
    <mergeCell ref="D3:F3"/>
    <mergeCell ref="G3:I3"/>
    <mergeCell ref="J3:L3"/>
    <mergeCell ref="M3:O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8" scale="45" r:id="rId1"/>
  <headerFooter alignWithMargins="0">
    <oddHeader>&amp;L&amp;"Times New Roman CE,Félkövér"&amp;14Nagykáta Város Önkormányzata&amp;C&amp;"Times New Roman CE,Félkövér"&amp;14
&amp;18EREDMÉNYKIMUTATÁS
2017. &amp;R9. tájékozató a  4/2018.(V.30.) rendelelethez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30"/>
  <sheetViews>
    <sheetView zoomScaleSheetLayoutView="100" workbookViewId="0" topLeftCell="C1">
      <selection activeCell="F1" sqref="F1"/>
    </sheetView>
  </sheetViews>
  <sheetFormatPr defaultColWidth="9.375" defaultRowHeight="12.75"/>
  <cols>
    <col min="1" max="1" width="6.75390625" style="10" customWidth="1"/>
    <col min="2" max="2" width="55.125" style="25" customWidth="1"/>
    <col min="3" max="5" width="16.375" style="10" customWidth="1"/>
    <col min="6" max="6" width="55.125" style="10" customWidth="1"/>
    <col min="7" max="9" width="16.375" style="10" customWidth="1"/>
    <col min="10" max="10" width="4.75390625" style="10" customWidth="1"/>
    <col min="11" max="16384" width="9.375" style="10" customWidth="1"/>
  </cols>
  <sheetData>
    <row r="1" spans="2:10" ht="39.75" customHeight="1">
      <c r="B1" s="270" t="s">
        <v>111</v>
      </c>
      <c r="C1" s="271"/>
      <c r="D1" s="271"/>
      <c r="E1" s="271"/>
      <c r="F1" s="271"/>
      <c r="G1" s="271"/>
      <c r="H1" s="271"/>
      <c r="I1" s="271"/>
      <c r="J1" s="816" t="str">
        <f>+CONCATENATE("2.1. melléklet a 4/",LEFT('1.Pénzügyi mérleg'!C3,4)+1,". (V.30.) önkormányzati rendelethez")</f>
        <v>2.1. melléklet a 4/2018. (V.30.) önkormányzati rendelethez</v>
      </c>
    </row>
    <row r="2" spans="7:10" ht="14.25" thickBot="1">
      <c r="G2" s="38"/>
      <c r="H2" s="38"/>
      <c r="I2" s="38" t="s">
        <v>681</v>
      </c>
      <c r="J2" s="816"/>
    </row>
    <row r="3" spans="1:10" ht="18" customHeight="1" thickBot="1">
      <c r="A3" s="814" t="s">
        <v>54</v>
      </c>
      <c r="B3" s="298" t="s">
        <v>41</v>
      </c>
      <c r="C3" s="299"/>
      <c r="D3" s="299"/>
      <c r="E3" s="299"/>
      <c r="F3" s="298" t="s">
        <v>42</v>
      </c>
      <c r="G3" s="300"/>
      <c r="H3" s="300"/>
      <c r="I3" s="300"/>
      <c r="J3" s="816"/>
    </row>
    <row r="4" spans="1:10" s="272" customFormat="1" ht="35.25" customHeight="1" thickBot="1">
      <c r="A4" s="815"/>
      <c r="B4" s="26" t="s">
        <v>47</v>
      </c>
      <c r="C4" s="27" t="str">
        <f>+CONCATENATE(LEFT('1.Pénzügyi mérleg'!C3,4),". évi eredeti előirányzat")</f>
        <v>2017. évi eredeti előirányzat</v>
      </c>
      <c r="D4" s="258" t="str">
        <f>+CONCATENATE(LEFT('1.Pénzügyi mérleg'!C3,4),". évi módosított előirányzat")</f>
        <v>2017. évi módosított előirányzat</v>
      </c>
      <c r="E4" s="27" t="str">
        <f>+CONCATENATE(LEFT('1.Pénzügyi mérleg'!C3,4),". évi teljesítés")</f>
        <v>2017. évi teljesítés</v>
      </c>
      <c r="F4" s="26" t="s">
        <v>47</v>
      </c>
      <c r="G4" s="27" t="str">
        <f>+C4</f>
        <v>2017. évi eredeti előirányzat</v>
      </c>
      <c r="H4" s="258" t="str">
        <f>+D4</f>
        <v>2017. évi módosított előirányzat</v>
      </c>
      <c r="I4" s="288" t="str">
        <f>+E4</f>
        <v>2017. évi teljesítés</v>
      </c>
      <c r="J4" s="816"/>
    </row>
    <row r="5" spans="1:10" s="273" customFormat="1" ht="12" customHeight="1" thickBot="1">
      <c r="A5" s="301" t="s">
        <v>373</v>
      </c>
      <c r="B5" s="302" t="s">
        <v>374</v>
      </c>
      <c r="C5" s="303" t="s">
        <v>375</v>
      </c>
      <c r="D5" s="303" t="s">
        <v>376</v>
      </c>
      <c r="E5" s="303" t="s">
        <v>377</v>
      </c>
      <c r="F5" s="302" t="s">
        <v>453</v>
      </c>
      <c r="G5" s="303" t="s">
        <v>454</v>
      </c>
      <c r="H5" s="303" t="s">
        <v>455</v>
      </c>
      <c r="I5" s="304" t="s">
        <v>456</v>
      </c>
      <c r="J5" s="816"/>
    </row>
    <row r="6" spans="1:10" ht="15" customHeight="1">
      <c r="A6" s="274" t="s">
        <v>6</v>
      </c>
      <c r="B6" s="275" t="s">
        <v>429</v>
      </c>
      <c r="C6" s="261">
        <v>829813489</v>
      </c>
      <c r="D6" s="261">
        <v>800261723</v>
      </c>
      <c r="E6" s="261">
        <v>800261723</v>
      </c>
      <c r="F6" s="275" t="s">
        <v>48</v>
      </c>
      <c r="G6" s="261">
        <v>712064633</v>
      </c>
      <c r="H6" s="261">
        <v>744400420</v>
      </c>
      <c r="I6" s="267">
        <v>677653970</v>
      </c>
      <c r="J6" s="816"/>
    </row>
    <row r="7" spans="1:10" ht="15" customHeight="1">
      <c r="A7" s="276" t="s">
        <v>7</v>
      </c>
      <c r="B7" s="277" t="s">
        <v>430</v>
      </c>
      <c r="C7" s="262">
        <v>126821000</v>
      </c>
      <c r="D7" s="262">
        <v>142334804</v>
      </c>
      <c r="E7" s="262">
        <v>138980381</v>
      </c>
      <c r="F7" s="277" t="s">
        <v>127</v>
      </c>
      <c r="G7" s="262">
        <v>163185928</v>
      </c>
      <c r="H7" s="262">
        <v>172171453</v>
      </c>
      <c r="I7" s="268">
        <v>152152073</v>
      </c>
      <c r="J7" s="816"/>
    </row>
    <row r="8" spans="1:10" ht="15" customHeight="1">
      <c r="A8" s="276" t="s">
        <v>8</v>
      </c>
      <c r="B8" s="277" t="s">
        <v>431</v>
      </c>
      <c r="C8" s="262"/>
      <c r="D8" s="262"/>
      <c r="E8" s="262"/>
      <c r="F8" s="277" t="s">
        <v>155</v>
      </c>
      <c r="G8" s="262">
        <v>367854755</v>
      </c>
      <c r="H8" s="262">
        <v>456932881</v>
      </c>
      <c r="I8" s="268">
        <v>396217671</v>
      </c>
      <c r="J8" s="816"/>
    </row>
    <row r="9" spans="1:10" ht="15" customHeight="1">
      <c r="A9" s="276" t="s">
        <v>9</v>
      </c>
      <c r="B9" s="277" t="s">
        <v>118</v>
      </c>
      <c r="C9" s="262">
        <v>418000000</v>
      </c>
      <c r="D9" s="262">
        <v>418000000</v>
      </c>
      <c r="E9" s="262">
        <v>375190472</v>
      </c>
      <c r="F9" s="277" t="s">
        <v>128</v>
      </c>
      <c r="G9" s="262">
        <v>40350000</v>
      </c>
      <c r="H9" s="262">
        <v>49318000</v>
      </c>
      <c r="I9" s="268">
        <v>34319947</v>
      </c>
      <c r="J9" s="816"/>
    </row>
    <row r="10" spans="1:10" ht="15" customHeight="1">
      <c r="A10" s="276" t="s">
        <v>10</v>
      </c>
      <c r="B10" s="278" t="s">
        <v>432</v>
      </c>
      <c r="C10" s="262"/>
      <c r="D10" s="262">
        <v>200000</v>
      </c>
      <c r="E10" s="262">
        <v>1804500</v>
      </c>
      <c r="F10" s="277" t="s">
        <v>129</v>
      </c>
      <c r="G10" s="262">
        <v>226702019</v>
      </c>
      <c r="H10" s="262">
        <v>191604328</v>
      </c>
      <c r="I10" s="268">
        <v>126858535</v>
      </c>
      <c r="J10" s="816"/>
    </row>
    <row r="11" spans="1:10" ht="15" customHeight="1">
      <c r="A11" s="276" t="s">
        <v>11</v>
      </c>
      <c r="B11" s="277" t="s">
        <v>610</v>
      </c>
      <c r="C11" s="263"/>
      <c r="D11" s="263"/>
      <c r="E11" s="263"/>
      <c r="F11" s="277" t="s">
        <v>664</v>
      </c>
      <c r="G11" s="262">
        <v>90860845</v>
      </c>
      <c r="H11" s="262">
        <v>27973434</v>
      </c>
      <c r="I11" s="268"/>
      <c r="J11" s="816"/>
    </row>
    <row r="12" spans="1:10" ht="15" customHeight="1">
      <c r="A12" s="276" t="s">
        <v>12</v>
      </c>
      <c r="B12" s="277" t="s">
        <v>303</v>
      </c>
      <c r="C12" s="262">
        <v>209466860</v>
      </c>
      <c r="D12" s="262">
        <v>260470537</v>
      </c>
      <c r="E12" s="262">
        <v>227557048</v>
      </c>
      <c r="F12" s="7"/>
      <c r="G12" s="262"/>
      <c r="H12" s="262"/>
      <c r="I12" s="268"/>
      <c r="J12" s="816"/>
    </row>
    <row r="13" spans="1:10" ht="15" customHeight="1">
      <c r="A13" s="276" t="s">
        <v>13</v>
      </c>
      <c r="B13" s="7"/>
      <c r="C13" s="262"/>
      <c r="D13" s="262"/>
      <c r="E13" s="262"/>
      <c r="F13" s="7"/>
      <c r="G13" s="262"/>
      <c r="H13" s="262"/>
      <c r="I13" s="268"/>
      <c r="J13" s="816"/>
    </row>
    <row r="14" spans="1:10" ht="15" customHeight="1">
      <c r="A14" s="276" t="s">
        <v>14</v>
      </c>
      <c r="B14" s="287"/>
      <c r="C14" s="263"/>
      <c r="D14" s="263"/>
      <c r="E14" s="263"/>
      <c r="F14" s="7"/>
      <c r="G14" s="262"/>
      <c r="H14" s="262"/>
      <c r="I14" s="268"/>
      <c r="J14" s="816"/>
    </row>
    <row r="15" spans="1:10" ht="15" customHeight="1">
      <c r="A15" s="276" t="s">
        <v>15</v>
      </c>
      <c r="B15" s="7"/>
      <c r="C15" s="262"/>
      <c r="D15" s="262"/>
      <c r="E15" s="262"/>
      <c r="F15" s="7"/>
      <c r="G15" s="262"/>
      <c r="H15" s="262"/>
      <c r="I15" s="268"/>
      <c r="J15" s="816"/>
    </row>
    <row r="16" spans="1:10" ht="15" customHeight="1">
      <c r="A16" s="276" t="s">
        <v>16</v>
      </c>
      <c r="B16" s="7"/>
      <c r="C16" s="262"/>
      <c r="D16" s="262"/>
      <c r="E16" s="262"/>
      <c r="F16" s="7"/>
      <c r="G16" s="262"/>
      <c r="H16" s="262"/>
      <c r="I16" s="268"/>
      <c r="J16" s="816"/>
    </row>
    <row r="17" spans="1:10" ht="15" customHeight="1" thickBot="1">
      <c r="A17" s="276" t="s">
        <v>17</v>
      </c>
      <c r="B17" s="12"/>
      <c r="C17" s="264"/>
      <c r="D17" s="264"/>
      <c r="E17" s="264"/>
      <c r="F17" s="7"/>
      <c r="G17" s="264"/>
      <c r="H17" s="264"/>
      <c r="I17" s="269"/>
      <c r="J17" s="816"/>
    </row>
    <row r="18" spans="1:10" ht="17.25" customHeight="1" thickBot="1">
      <c r="A18" s="279" t="s">
        <v>18</v>
      </c>
      <c r="B18" s="260" t="s">
        <v>433</v>
      </c>
      <c r="C18" s="265">
        <f>+C6+C7+C9+C10+C12+C13+C14+C15+C16+C17</f>
        <v>1584101349</v>
      </c>
      <c r="D18" s="265">
        <f>+D6+D7+D9+D10+D12+D13+D14+D15+D16+D17</f>
        <v>1621267064</v>
      </c>
      <c r="E18" s="265">
        <f>+E6+E7+E9+E10+E12+E13+E14+E15+E16+E17</f>
        <v>1543794124</v>
      </c>
      <c r="F18" s="260" t="s">
        <v>440</v>
      </c>
      <c r="G18" s="265">
        <f>SUM(G6:G17)-G11</f>
        <v>1510157335</v>
      </c>
      <c r="H18" s="265">
        <f>SUM(H6:H17)-H11</f>
        <v>1614427082</v>
      </c>
      <c r="I18" s="265">
        <f>SUM(I6:I17)-I11</f>
        <v>1387202196</v>
      </c>
      <c r="J18" s="816"/>
    </row>
    <row r="19" spans="1:10" ht="15" customHeight="1">
      <c r="A19" s="280" t="s">
        <v>19</v>
      </c>
      <c r="B19" s="281" t="s">
        <v>434</v>
      </c>
      <c r="C19" s="39">
        <f>+C20+C21+C22+C23</f>
        <v>958677219</v>
      </c>
      <c r="D19" s="39">
        <f>+D20+D21+D22+D23</f>
        <v>1084600880</v>
      </c>
      <c r="E19" s="39">
        <f>+E20+E21+E22+E23</f>
        <v>1038015767</v>
      </c>
      <c r="F19" s="282" t="s">
        <v>135</v>
      </c>
      <c r="G19" s="266"/>
      <c r="H19" s="266"/>
      <c r="I19" s="266"/>
      <c r="J19" s="816"/>
    </row>
    <row r="20" spans="1:10" ht="15" customHeight="1">
      <c r="A20" s="283" t="s">
        <v>20</v>
      </c>
      <c r="B20" s="282" t="s">
        <v>148</v>
      </c>
      <c r="C20" s="259">
        <v>120000000</v>
      </c>
      <c r="D20" s="259">
        <v>193388304</v>
      </c>
      <c r="E20" s="259">
        <v>193388304</v>
      </c>
      <c r="F20" s="282" t="s">
        <v>441</v>
      </c>
      <c r="G20" s="259"/>
      <c r="H20" s="259"/>
      <c r="I20" s="259"/>
      <c r="J20" s="816"/>
    </row>
    <row r="21" spans="1:10" ht="15" customHeight="1">
      <c r="A21" s="283" t="s">
        <v>21</v>
      </c>
      <c r="B21" s="282" t="s">
        <v>149</v>
      </c>
      <c r="C21" s="259"/>
      <c r="D21" s="259"/>
      <c r="E21" s="259"/>
      <c r="F21" s="282" t="s">
        <v>109</v>
      </c>
      <c r="G21" s="259"/>
      <c r="H21" s="259"/>
      <c r="I21" s="259"/>
      <c r="J21" s="816"/>
    </row>
    <row r="22" spans="1:10" ht="15" customHeight="1">
      <c r="A22" s="283" t="s">
        <v>22</v>
      </c>
      <c r="B22" s="282" t="s">
        <v>153</v>
      </c>
      <c r="C22" s="259"/>
      <c r="D22" s="259"/>
      <c r="E22" s="259"/>
      <c r="F22" s="282" t="s">
        <v>110</v>
      </c>
      <c r="G22" s="259"/>
      <c r="H22" s="259"/>
      <c r="I22" s="259"/>
      <c r="J22" s="816"/>
    </row>
    <row r="23" spans="1:10" ht="15" customHeight="1">
      <c r="A23" s="283" t="s">
        <v>23</v>
      </c>
      <c r="B23" s="282" t="s">
        <v>154</v>
      </c>
      <c r="C23" s="259">
        <v>838677219</v>
      </c>
      <c r="D23" s="259">
        <v>891212576</v>
      </c>
      <c r="E23" s="259">
        <v>844627463</v>
      </c>
      <c r="F23" s="281" t="s">
        <v>156</v>
      </c>
      <c r="G23" s="259"/>
      <c r="H23" s="259"/>
      <c r="I23" s="259"/>
      <c r="J23" s="816"/>
    </row>
    <row r="24" spans="1:10" ht="15" customHeight="1">
      <c r="A24" s="283" t="s">
        <v>24</v>
      </c>
      <c r="B24" s="282" t="s">
        <v>435</v>
      </c>
      <c r="C24" s="284">
        <f>+C25+C26</f>
        <v>0</v>
      </c>
      <c r="D24" s="284">
        <f>+D25+D26</f>
        <v>0</v>
      </c>
      <c r="E24" s="284">
        <f>+E25+E26</f>
        <v>0</v>
      </c>
      <c r="F24" s="282" t="s">
        <v>136</v>
      </c>
      <c r="G24" s="259"/>
      <c r="H24" s="259"/>
      <c r="I24" s="259"/>
      <c r="J24" s="816"/>
    </row>
    <row r="25" spans="1:10" ht="15" customHeight="1">
      <c r="A25" s="280" t="s">
        <v>25</v>
      </c>
      <c r="B25" s="281" t="s">
        <v>436</v>
      </c>
      <c r="C25" s="266"/>
      <c r="D25" s="266"/>
      <c r="E25" s="266"/>
      <c r="F25" s="275" t="s">
        <v>687</v>
      </c>
      <c r="G25" s="266">
        <v>25331220</v>
      </c>
      <c r="H25" s="266">
        <v>25331220</v>
      </c>
      <c r="I25" s="266">
        <v>25331220</v>
      </c>
      <c r="J25" s="816"/>
    </row>
    <row r="26" spans="1:10" ht="15" customHeight="1" thickBot="1">
      <c r="A26" s="283" t="s">
        <v>26</v>
      </c>
      <c r="B26" s="282" t="s">
        <v>437</v>
      </c>
      <c r="C26" s="259"/>
      <c r="D26" s="259"/>
      <c r="E26" s="259"/>
      <c r="F26" s="7" t="s">
        <v>686</v>
      </c>
      <c r="G26" s="259">
        <v>838677219</v>
      </c>
      <c r="H26" s="259">
        <v>891212576</v>
      </c>
      <c r="I26" s="259">
        <v>820194182</v>
      </c>
      <c r="J26" s="816"/>
    </row>
    <row r="27" spans="1:10" ht="17.25" customHeight="1" thickBot="1">
      <c r="A27" s="279" t="s">
        <v>27</v>
      </c>
      <c r="B27" s="260" t="s">
        <v>438</v>
      </c>
      <c r="C27" s="265">
        <f>+C19+C24</f>
        <v>958677219</v>
      </c>
      <c r="D27" s="265">
        <f>+D19+D24</f>
        <v>1084600880</v>
      </c>
      <c r="E27" s="265">
        <f>+E19+E24</f>
        <v>1038015767</v>
      </c>
      <c r="F27" s="260" t="s">
        <v>442</v>
      </c>
      <c r="G27" s="265">
        <f>SUM(G19:G26)</f>
        <v>864008439</v>
      </c>
      <c r="H27" s="265">
        <f>SUM(H19:H26)</f>
        <v>916543796</v>
      </c>
      <c r="I27" s="265">
        <f>SUM(I19:I26)</f>
        <v>845525402</v>
      </c>
      <c r="J27" s="816"/>
    </row>
    <row r="28" spans="1:10" ht="17.25" customHeight="1" thickBot="1">
      <c r="A28" s="279" t="s">
        <v>28</v>
      </c>
      <c r="B28" s="285" t="s">
        <v>439</v>
      </c>
      <c r="C28" s="94">
        <f>+C18+C27</f>
        <v>2542778568</v>
      </c>
      <c r="D28" s="94">
        <f>+D18+D27</f>
        <v>2705867944</v>
      </c>
      <c r="E28" s="286">
        <f>+E18+E27</f>
        <v>2581809891</v>
      </c>
      <c r="F28" s="285" t="s">
        <v>443</v>
      </c>
      <c r="G28" s="94">
        <f>+G18+G27</f>
        <v>2374165774</v>
      </c>
      <c r="H28" s="94">
        <f>+H18+H27</f>
        <v>2530970878</v>
      </c>
      <c r="I28" s="94">
        <f>+I18+I27</f>
        <v>2232727598</v>
      </c>
      <c r="J28" s="816"/>
    </row>
    <row r="29" spans="1:10" ht="17.25" customHeight="1" thickBot="1">
      <c r="A29" s="279" t="s">
        <v>29</v>
      </c>
      <c r="B29" s="285" t="s">
        <v>113</v>
      </c>
      <c r="C29" s="94" t="str">
        <f>IF(C18-G18&lt;0,G18-C18,"-")</f>
        <v>-</v>
      </c>
      <c r="D29" s="94" t="str">
        <f>IF(D18-H18&lt;0,H18-D18,"-")</f>
        <v>-</v>
      </c>
      <c r="E29" s="286" t="str">
        <f>IF(E18-I18&lt;0,I18-E18,"-")</f>
        <v>-</v>
      </c>
      <c r="F29" s="285" t="s">
        <v>114</v>
      </c>
      <c r="G29" s="94">
        <f>IF(C18-G18&gt;0,C18-G18,"-")</f>
        <v>73944014</v>
      </c>
      <c r="H29" s="94">
        <f>IF(D18-H18&gt;0,D18-H18,"-")</f>
        <v>6839982</v>
      </c>
      <c r="I29" s="94">
        <f>IF(E18-I18&gt;0,E18-I18,"-")</f>
        <v>156591928</v>
      </c>
      <c r="J29" s="816"/>
    </row>
    <row r="30" spans="1:10" ht="17.25" customHeight="1" thickBot="1">
      <c r="A30" s="279" t="s">
        <v>30</v>
      </c>
      <c r="B30" s="285" t="s">
        <v>157</v>
      </c>
      <c r="C30" s="94" t="str">
        <f>IF(C28-G28&lt;0,G28-C28,"-")</f>
        <v>-</v>
      </c>
      <c r="D30" s="94" t="str">
        <f>IF(D28-H28&lt;0,H28-D28,"-")</f>
        <v>-</v>
      </c>
      <c r="E30" s="286" t="str">
        <f>IF(E28-I28&lt;0,I28-E28,"-")</f>
        <v>-</v>
      </c>
      <c r="F30" s="285" t="s">
        <v>158</v>
      </c>
      <c r="G30" s="94">
        <f>IF(C28-G28&gt;0,C28-G28,"-")</f>
        <v>168612794</v>
      </c>
      <c r="H30" s="94">
        <f>IF(D28-H28&gt;0,D28-H28,"-")</f>
        <v>174897066</v>
      </c>
      <c r="I30" s="94">
        <f>IF(E28-I28&gt;0,E28-I28,"-")</f>
        <v>349082293</v>
      </c>
      <c r="J30" s="816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33"/>
  <sheetViews>
    <sheetView view="pageBreakPreview" zoomScale="115" zoomScaleSheetLayoutView="115" workbookViewId="0" topLeftCell="C1">
      <selection activeCell="J1" sqref="J1:J33"/>
    </sheetView>
  </sheetViews>
  <sheetFormatPr defaultColWidth="9.375" defaultRowHeight="12.75"/>
  <cols>
    <col min="1" max="1" width="6.75390625" style="10" customWidth="1"/>
    <col min="2" max="2" width="55.125" style="25" customWidth="1"/>
    <col min="3" max="5" width="16.375" style="10" customWidth="1"/>
    <col min="6" max="6" width="55.125" style="10" customWidth="1"/>
    <col min="7" max="9" width="16.375" style="10" customWidth="1"/>
    <col min="10" max="10" width="4.75390625" style="10" customWidth="1"/>
    <col min="11" max="16384" width="9.375" style="10" customWidth="1"/>
  </cols>
  <sheetData>
    <row r="1" spans="2:10" ht="39.75" customHeight="1">
      <c r="B1" s="270" t="s">
        <v>112</v>
      </c>
      <c r="C1" s="271"/>
      <c r="D1" s="271"/>
      <c r="E1" s="271"/>
      <c r="F1" s="271"/>
      <c r="G1" s="271"/>
      <c r="H1" s="271"/>
      <c r="I1" s="271"/>
      <c r="J1" s="819" t="str">
        <f>+CONCATENATE("2.2. melléklet a 4/",LEFT('1.Pénzügyi mérleg'!C3,4)+1,". (V.30.) önkormányzati rendelethez")</f>
        <v>2.2. melléklet a 4/2018. (V.30.) önkormányzati rendelethez</v>
      </c>
    </row>
    <row r="2" spans="7:10" ht="14.25" thickBot="1">
      <c r="G2" s="38"/>
      <c r="H2" s="38"/>
      <c r="I2" s="38" t="s">
        <v>46</v>
      </c>
      <c r="J2" s="819"/>
    </row>
    <row r="3" spans="1:10" ht="24" customHeight="1" thickBot="1">
      <c r="A3" s="817" t="s">
        <v>54</v>
      </c>
      <c r="B3" s="298" t="s">
        <v>41</v>
      </c>
      <c r="C3" s="299"/>
      <c r="D3" s="299"/>
      <c r="E3" s="299"/>
      <c r="F3" s="298" t="s">
        <v>42</v>
      </c>
      <c r="G3" s="300"/>
      <c r="H3" s="300"/>
      <c r="I3" s="300"/>
      <c r="J3" s="819"/>
    </row>
    <row r="4" spans="1:10" s="272" customFormat="1" ht="35.25" customHeight="1" thickBot="1">
      <c r="A4" s="818"/>
      <c r="B4" s="26" t="s">
        <v>47</v>
      </c>
      <c r="C4" s="27" t="str">
        <f>+'2.1.Műküdési kiadások'!C4</f>
        <v>2017. évi eredeti előirányzat</v>
      </c>
      <c r="D4" s="258" t="str">
        <f>+'2.1.Műküdési kiadások'!D4</f>
        <v>2017. évi módosított előirányzat</v>
      </c>
      <c r="E4" s="27" t="str">
        <f>+'2.1.Műküdési kiadások'!E4</f>
        <v>2017. évi teljesítés</v>
      </c>
      <c r="F4" s="26" t="s">
        <v>47</v>
      </c>
      <c r="G4" s="27" t="str">
        <f>+'2.1.Műküdési kiadások'!C4</f>
        <v>2017. évi eredeti előirányzat</v>
      </c>
      <c r="H4" s="258" t="str">
        <f>+'2.1.Műküdési kiadások'!D4</f>
        <v>2017. évi módosított előirányzat</v>
      </c>
      <c r="I4" s="288" t="str">
        <f>+'2.1.Műküdési kiadások'!E4</f>
        <v>2017. évi teljesítés</v>
      </c>
      <c r="J4" s="819"/>
    </row>
    <row r="5" spans="1:10" s="272" customFormat="1" ht="13.5" thickBot="1">
      <c r="A5" s="301" t="s">
        <v>373</v>
      </c>
      <c r="B5" s="302" t="s">
        <v>374</v>
      </c>
      <c r="C5" s="303" t="s">
        <v>375</v>
      </c>
      <c r="D5" s="303" t="s">
        <v>376</v>
      </c>
      <c r="E5" s="303" t="s">
        <v>377</v>
      </c>
      <c r="F5" s="302" t="s">
        <v>453</v>
      </c>
      <c r="G5" s="303" t="s">
        <v>454</v>
      </c>
      <c r="H5" s="303" t="s">
        <v>455</v>
      </c>
      <c r="I5" s="304" t="s">
        <v>456</v>
      </c>
      <c r="J5" s="819"/>
    </row>
    <row r="6" spans="1:10" ht="12.75" customHeight="1">
      <c r="A6" s="274" t="s">
        <v>6</v>
      </c>
      <c r="B6" s="275" t="s">
        <v>444</v>
      </c>
      <c r="C6" s="261">
        <v>637157762</v>
      </c>
      <c r="D6" s="261">
        <v>1127175458</v>
      </c>
      <c r="E6" s="261">
        <v>1104479138</v>
      </c>
      <c r="F6" s="275" t="s">
        <v>150</v>
      </c>
      <c r="G6" s="261">
        <v>88121921</v>
      </c>
      <c r="H6" s="261">
        <v>495733998</v>
      </c>
      <c r="I6" s="267">
        <v>46889540</v>
      </c>
      <c r="J6" s="819"/>
    </row>
    <row r="7" spans="1:10" ht="12.75">
      <c r="A7" s="276" t="s">
        <v>7</v>
      </c>
      <c r="B7" s="277" t="s">
        <v>445</v>
      </c>
      <c r="C7" s="262"/>
      <c r="D7" s="262"/>
      <c r="E7" s="262">
        <v>605225225</v>
      </c>
      <c r="F7" s="277" t="s">
        <v>457</v>
      </c>
      <c r="G7" s="262"/>
      <c r="H7" s="262"/>
      <c r="I7" s="268"/>
      <c r="J7" s="819"/>
    </row>
    <row r="8" spans="1:10" ht="12.75" customHeight="1">
      <c r="A8" s="276" t="s">
        <v>8</v>
      </c>
      <c r="B8" s="277" t="s">
        <v>446</v>
      </c>
      <c r="C8" s="262"/>
      <c r="D8" s="262">
        <v>60513749</v>
      </c>
      <c r="E8" s="262">
        <v>60226553</v>
      </c>
      <c r="F8" s="277" t="s">
        <v>131</v>
      </c>
      <c r="G8" s="262">
        <v>682273635</v>
      </c>
      <c r="H8" s="262">
        <v>781280454</v>
      </c>
      <c r="I8" s="268">
        <v>265553874</v>
      </c>
      <c r="J8" s="819"/>
    </row>
    <row r="9" spans="1:10" ht="12.75" customHeight="1">
      <c r="A9" s="276" t="s">
        <v>9</v>
      </c>
      <c r="B9" s="277" t="s">
        <v>447</v>
      </c>
      <c r="C9" s="262">
        <v>36625000</v>
      </c>
      <c r="D9" s="262">
        <v>30000000</v>
      </c>
      <c r="E9" s="262">
        <v>49000</v>
      </c>
      <c r="F9" s="277" t="s">
        <v>458</v>
      </c>
      <c r="G9" s="262"/>
      <c r="H9" s="262"/>
      <c r="I9" s="268"/>
      <c r="J9" s="819"/>
    </row>
    <row r="10" spans="1:10" ht="12.75" customHeight="1">
      <c r="A10" s="276" t="s">
        <v>10</v>
      </c>
      <c r="B10" s="277" t="s">
        <v>448</v>
      </c>
      <c r="C10" s="262"/>
      <c r="D10" s="262"/>
      <c r="E10" s="262"/>
      <c r="F10" s="277" t="s">
        <v>152</v>
      </c>
      <c r="G10" s="262">
        <v>72000000</v>
      </c>
      <c r="H10" s="262">
        <v>115571821</v>
      </c>
      <c r="I10" s="268">
        <v>61551194</v>
      </c>
      <c r="J10" s="819"/>
    </row>
    <row r="11" spans="1:10" ht="12.75" customHeight="1">
      <c r="A11" s="276" t="s">
        <v>11</v>
      </c>
      <c r="B11" s="277" t="s">
        <v>449</v>
      </c>
      <c r="C11" s="263"/>
      <c r="D11" s="263"/>
      <c r="E11" s="263"/>
      <c r="F11" s="318"/>
      <c r="G11" s="262"/>
      <c r="H11" s="262"/>
      <c r="I11" s="268"/>
      <c r="J11" s="819"/>
    </row>
    <row r="12" spans="1:10" ht="12.75" customHeight="1">
      <c r="A12" s="276" t="s">
        <v>12</v>
      </c>
      <c r="B12" s="7"/>
      <c r="C12" s="262"/>
      <c r="D12" s="262"/>
      <c r="E12" s="262"/>
      <c r="F12" s="318"/>
      <c r="G12" s="262"/>
      <c r="H12" s="262"/>
      <c r="I12" s="268"/>
      <c r="J12" s="819"/>
    </row>
    <row r="13" spans="1:10" ht="12.75" customHeight="1">
      <c r="A13" s="276" t="s">
        <v>13</v>
      </c>
      <c r="B13" s="7"/>
      <c r="C13" s="262"/>
      <c r="D13" s="262"/>
      <c r="E13" s="262"/>
      <c r="F13" s="319"/>
      <c r="G13" s="262"/>
      <c r="H13" s="262"/>
      <c r="I13" s="268"/>
      <c r="J13" s="819"/>
    </row>
    <row r="14" spans="1:10" ht="12.75" customHeight="1">
      <c r="A14" s="276" t="s">
        <v>14</v>
      </c>
      <c r="B14" s="316"/>
      <c r="C14" s="263"/>
      <c r="D14" s="263"/>
      <c r="E14" s="263"/>
      <c r="F14" s="318"/>
      <c r="G14" s="262"/>
      <c r="H14" s="262"/>
      <c r="I14" s="268"/>
      <c r="J14" s="819"/>
    </row>
    <row r="15" spans="1:10" ht="12.75">
      <c r="A15" s="276" t="s">
        <v>15</v>
      </c>
      <c r="B15" s="7"/>
      <c r="C15" s="263"/>
      <c r="D15" s="263"/>
      <c r="E15" s="263"/>
      <c r="F15" s="318"/>
      <c r="G15" s="262"/>
      <c r="H15" s="262"/>
      <c r="I15" s="268"/>
      <c r="J15" s="819"/>
    </row>
    <row r="16" spans="1:10" ht="12.75" customHeight="1" thickBot="1">
      <c r="A16" s="313" t="s">
        <v>16</v>
      </c>
      <c r="B16" s="317"/>
      <c r="C16" s="315"/>
      <c r="D16" s="101"/>
      <c r="E16" s="108"/>
      <c r="F16" s="314" t="s">
        <v>37</v>
      </c>
      <c r="G16" s="262"/>
      <c r="H16" s="262"/>
      <c r="I16" s="268"/>
      <c r="J16" s="819"/>
    </row>
    <row r="17" spans="1:10" ht="15.75" customHeight="1" thickBot="1">
      <c r="A17" s="279" t="s">
        <v>17</v>
      </c>
      <c r="B17" s="260" t="s">
        <v>450</v>
      </c>
      <c r="C17" s="265">
        <f>+C6+C8+C9+C11+C12+C13+C14+C15+C16</f>
        <v>673782762</v>
      </c>
      <c r="D17" s="265">
        <f>+D6+D8+D9+D11+D12+D13+D14+D15+D16</f>
        <v>1217689207</v>
      </c>
      <c r="E17" s="265">
        <f>+E6+E8+E9+E11+E12+E13+E14+E15+E16</f>
        <v>1164754691</v>
      </c>
      <c r="F17" s="260" t="s">
        <v>459</v>
      </c>
      <c r="G17" s="265">
        <f>+G6+G8+G10+G11+G12+G13+G14+G15+G16</f>
        <v>842395556</v>
      </c>
      <c r="H17" s="265">
        <f>+H6+H8+H10+H11+H12+H13+H14+H15+H16</f>
        <v>1392586273</v>
      </c>
      <c r="I17" s="297">
        <f>+I6+I8+I10+I11+I12+I13+I14+I15+I16</f>
        <v>373994608</v>
      </c>
      <c r="J17" s="819"/>
    </row>
    <row r="18" spans="1:10" ht="12.75" customHeight="1">
      <c r="A18" s="274" t="s">
        <v>18</v>
      </c>
      <c r="B18" s="305" t="s">
        <v>170</v>
      </c>
      <c r="C18" s="312">
        <f>+C19+C20+C21+C22+C23</f>
        <v>0</v>
      </c>
      <c r="D18" s="312">
        <f>+D19+D20+D21+D22+D23</f>
        <v>0</v>
      </c>
      <c r="E18" s="312">
        <f>+E19+E20+E21+E22+E23</f>
        <v>0</v>
      </c>
      <c r="F18" s="282" t="s">
        <v>135</v>
      </c>
      <c r="G18" s="96"/>
      <c r="H18" s="96"/>
      <c r="I18" s="292"/>
      <c r="J18" s="819"/>
    </row>
    <row r="19" spans="1:10" ht="12.75" customHeight="1">
      <c r="A19" s="276" t="s">
        <v>19</v>
      </c>
      <c r="B19" s="306" t="s">
        <v>159</v>
      </c>
      <c r="C19" s="259"/>
      <c r="D19" s="259"/>
      <c r="E19" s="259"/>
      <c r="F19" s="282" t="s">
        <v>138</v>
      </c>
      <c r="G19" s="259"/>
      <c r="H19" s="259"/>
      <c r="I19" s="293"/>
      <c r="J19" s="819"/>
    </row>
    <row r="20" spans="1:10" ht="12.75" customHeight="1">
      <c r="A20" s="274" t="s">
        <v>20</v>
      </c>
      <c r="B20" s="306" t="s">
        <v>160</v>
      </c>
      <c r="C20" s="259"/>
      <c r="D20" s="259"/>
      <c r="E20" s="259"/>
      <c r="F20" s="282" t="s">
        <v>109</v>
      </c>
      <c r="G20" s="259"/>
      <c r="H20" s="259"/>
      <c r="I20" s="293"/>
      <c r="J20" s="819"/>
    </row>
    <row r="21" spans="1:10" ht="12.75" customHeight="1">
      <c r="A21" s="276" t="s">
        <v>21</v>
      </c>
      <c r="B21" s="306" t="s">
        <v>161</v>
      </c>
      <c r="C21" s="259"/>
      <c r="D21" s="259"/>
      <c r="E21" s="259"/>
      <c r="F21" s="282" t="s">
        <v>110</v>
      </c>
      <c r="G21" s="259"/>
      <c r="H21" s="259"/>
      <c r="I21" s="293"/>
      <c r="J21" s="819"/>
    </row>
    <row r="22" spans="1:10" ht="12.75" customHeight="1">
      <c r="A22" s="274" t="s">
        <v>22</v>
      </c>
      <c r="B22" s="306" t="s">
        <v>162</v>
      </c>
      <c r="C22" s="259"/>
      <c r="D22" s="259"/>
      <c r="E22" s="259"/>
      <c r="F22" s="282" t="s">
        <v>156</v>
      </c>
      <c r="G22" s="259"/>
      <c r="H22" s="259"/>
      <c r="I22" s="293"/>
      <c r="J22" s="819"/>
    </row>
    <row r="23" spans="1:10" ht="12.75" customHeight="1">
      <c r="A23" s="276" t="s">
        <v>23</v>
      </c>
      <c r="B23" s="307" t="s">
        <v>163</v>
      </c>
      <c r="C23" s="259"/>
      <c r="D23" s="259"/>
      <c r="E23" s="259"/>
      <c r="F23" s="437" t="s">
        <v>665</v>
      </c>
      <c r="G23" s="259"/>
      <c r="H23" s="259"/>
      <c r="I23" s="293"/>
      <c r="J23" s="819"/>
    </row>
    <row r="24" spans="1:10" ht="12.75" customHeight="1">
      <c r="A24" s="274" t="s">
        <v>24</v>
      </c>
      <c r="B24" s="308" t="s">
        <v>164</v>
      </c>
      <c r="C24" s="284">
        <f>+C25+C26+C27+C28+C29</f>
        <v>0</v>
      </c>
      <c r="D24" s="284">
        <f>+D25+D26+D27+D28+D29</f>
        <v>0</v>
      </c>
      <c r="E24" s="284">
        <f>+E25+E26+E27+E28+E29</f>
        <v>0</v>
      </c>
      <c r="F24" s="309" t="s">
        <v>137</v>
      </c>
      <c r="G24" s="259"/>
      <c r="H24" s="259"/>
      <c r="I24" s="293"/>
      <c r="J24" s="819"/>
    </row>
    <row r="25" spans="1:10" ht="12.75" customHeight="1">
      <c r="A25" s="276" t="s">
        <v>25</v>
      </c>
      <c r="B25" s="307" t="s">
        <v>165</v>
      </c>
      <c r="C25" s="259"/>
      <c r="D25" s="259"/>
      <c r="E25" s="259"/>
      <c r="F25" s="309" t="s">
        <v>460</v>
      </c>
      <c r="G25" s="259"/>
      <c r="H25" s="259"/>
      <c r="I25" s="293"/>
      <c r="J25" s="819"/>
    </row>
    <row r="26" spans="1:10" ht="12.75" customHeight="1">
      <c r="A26" s="274" t="s">
        <v>26</v>
      </c>
      <c r="B26" s="307" t="s">
        <v>166</v>
      </c>
      <c r="C26" s="259"/>
      <c r="D26" s="259"/>
      <c r="E26" s="259"/>
      <c r="F26" s="282" t="s">
        <v>139</v>
      </c>
      <c r="G26" s="259"/>
      <c r="H26" s="259"/>
      <c r="I26" s="293"/>
      <c r="J26" s="819"/>
    </row>
    <row r="27" spans="1:10" ht="12.75" customHeight="1">
      <c r="A27" s="276" t="s">
        <v>27</v>
      </c>
      <c r="B27" s="306" t="s">
        <v>167</v>
      </c>
      <c r="C27" s="259"/>
      <c r="D27" s="259"/>
      <c r="E27" s="259"/>
      <c r="F27" s="282"/>
      <c r="G27" s="259"/>
      <c r="H27" s="259"/>
      <c r="I27" s="293"/>
      <c r="J27" s="819"/>
    </row>
    <row r="28" spans="1:10" ht="12.75" customHeight="1">
      <c r="A28" s="274" t="s">
        <v>28</v>
      </c>
      <c r="B28" s="310" t="s">
        <v>168</v>
      </c>
      <c r="C28" s="259"/>
      <c r="D28" s="259"/>
      <c r="E28" s="259"/>
      <c r="F28" s="7"/>
      <c r="G28" s="259"/>
      <c r="H28" s="259"/>
      <c r="I28" s="293"/>
      <c r="J28" s="819"/>
    </row>
    <row r="29" spans="1:10" ht="12.75" customHeight="1" thickBot="1">
      <c r="A29" s="276" t="s">
        <v>29</v>
      </c>
      <c r="B29" s="311" t="s">
        <v>169</v>
      </c>
      <c r="C29" s="259"/>
      <c r="D29" s="259"/>
      <c r="E29" s="259"/>
      <c r="F29" s="294"/>
      <c r="G29" s="259"/>
      <c r="H29" s="259"/>
      <c r="I29" s="293"/>
      <c r="J29" s="819"/>
    </row>
    <row r="30" spans="1:10" ht="13.5" thickBot="1">
      <c r="A30" s="279" t="s">
        <v>30</v>
      </c>
      <c r="B30" s="260" t="s">
        <v>451</v>
      </c>
      <c r="C30" s="265">
        <f>+C18+C24</f>
        <v>0</v>
      </c>
      <c r="D30" s="265">
        <f>+D18+D24</f>
        <v>0</v>
      </c>
      <c r="E30" s="265">
        <f>+E18+E24</f>
        <v>0</v>
      </c>
      <c r="F30" s="260" t="s">
        <v>462</v>
      </c>
      <c r="G30" s="265">
        <f>SUM(G18:G29)</f>
        <v>0</v>
      </c>
      <c r="H30" s="265">
        <f>SUM(H18:H29)</f>
        <v>0</v>
      </c>
      <c r="I30" s="297">
        <f>SUM(I18:I29)</f>
        <v>0</v>
      </c>
      <c r="J30" s="819"/>
    </row>
    <row r="31" spans="1:10" ht="16.5" customHeight="1" thickBot="1">
      <c r="A31" s="279" t="s">
        <v>31</v>
      </c>
      <c r="B31" s="285" t="s">
        <v>452</v>
      </c>
      <c r="C31" s="94">
        <f>+C17+C30</f>
        <v>673782762</v>
      </c>
      <c r="D31" s="94">
        <f>+D17+D30</f>
        <v>1217689207</v>
      </c>
      <c r="E31" s="286">
        <f>+E17+E30</f>
        <v>1164754691</v>
      </c>
      <c r="F31" s="285" t="s">
        <v>461</v>
      </c>
      <c r="G31" s="94">
        <f>+G17+G30</f>
        <v>842395556</v>
      </c>
      <c r="H31" s="94">
        <f>+H17+H30</f>
        <v>1392586273</v>
      </c>
      <c r="I31" s="95">
        <f>+I17+I30</f>
        <v>373994608</v>
      </c>
      <c r="J31" s="819"/>
    </row>
    <row r="32" spans="1:10" ht="16.5" customHeight="1" thickBot="1">
      <c r="A32" s="279" t="s">
        <v>32</v>
      </c>
      <c r="B32" s="285" t="s">
        <v>113</v>
      </c>
      <c r="C32" s="94">
        <f>IF(C17-G17&lt;0,G17-C17,"-")</f>
        <v>168612794</v>
      </c>
      <c r="D32" s="94">
        <f>IF(D17-H17&lt;0,H17-D17,"-")</f>
        <v>174897066</v>
      </c>
      <c r="E32" s="286" t="str">
        <f>IF(E17-I17&lt;0,I17-E17,"-")</f>
        <v>-</v>
      </c>
      <c r="F32" s="285" t="s">
        <v>114</v>
      </c>
      <c r="G32" s="94" t="str">
        <f>IF(C17-G17&gt;0,C17-G17,"-")</f>
        <v>-</v>
      </c>
      <c r="H32" s="94" t="str">
        <f>IF(D17-H17&gt;0,D17-H17,"-")</f>
        <v>-</v>
      </c>
      <c r="I32" s="95">
        <f>IF(E17-I17&gt;0,E17-I17,"-")</f>
        <v>790760083</v>
      </c>
      <c r="J32" s="819"/>
    </row>
    <row r="33" spans="1:10" ht="16.5" customHeight="1" thickBot="1">
      <c r="A33" s="279" t="s">
        <v>33</v>
      </c>
      <c r="B33" s="285" t="s">
        <v>157</v>
      </c>
      <c r="C33" s="94" t="str">
        <f>IF(C26-G26&lt;0,G26-C26,"-")</f>
        <v>-</v>
      </c>
      <c r="D33" s="94" t="str">
        <f>IF(D26-H26&lt;0,H26-D26,"-")</f>
        <v>-</v>
      </c>
      <c r="E33" s="286" t="str">
        <f>IF(E26-I26&lt;0,I26-E26,"-")</f>
        <v>-</v>
      </c>
      <c r="F33" s="285" t="s">
        <v>158</v>
      </c>
      <c r="G33" s="94" t="str">
        <f>IF(C26-G26&gt;0,C26-G26,"-")</f>
        <v>-</v>
      </c>
      <c r="H33" s="94" t="str">
        <f>IF(D26-H26&gt;0,D26-H26,"-")</f>
        <v>-</v>
      </c>
      <c r="I33" s="95" t="str">
        <f>IF(E26-I26&gt;0,E26-I26,"-")</f>
        <v>-</v>
      </c>
      <c r="J33" s="819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G42" sqref="G42"/>
    </sheetView>
  </sheetViews>
  <sheetFormatPr defaultColWidth="9.375" defaultRowHeight="12.75"/>
  <cols>
    <col min="1" max="1" width="46.375" style="181" customWidth="1"/>
    <col min="2" max="2" width="13.75390625" style="181" customWidth="1"/>
    <col min="3" max="3" width="66.125" style="181" customWidth="1"/>
    <col min="4" max="5" width="13.75390625" style="181" customWidth="1"/>
    <col min="6" max="16384" width="9.375" style="181" customWidth="1"/>
  </cols>
  <sheetData>
    <row r="1" spans="1:5" ht="17.25">
      <c r="A1" s="320" t="s">
        <v>104</v>
      </c>
      <c r="E1" s="326" t="s">
        <v>108</v>
      </c>
    </row>
    <row r="3" spans="1:5" ht="12.75">
      <c r="A3" s="321"/>
      <c r="B3" s="327"/>
      <c r="C3" s="321"/>
      <c r="D3" s="328"/>
      <c r="E3" s="327"/>
    </row>
    <row r="4" spans="1:5" ht="15">
      <c r="A4" s="296" t="str">
        <f>+ÖSSZEFÜGGÉSEK!A4</f>
        <v>2017. évi eredeti előirányzat BEVÉTELEK</v>
      </c>
      <c r="B4" s="329"/>
      <c r="C4" s="322"/>
      <c r="D4" s="328"/>
      <c r="E4" s="327"/>
    </row>
    <row r="5" spans="1:5" ht="12.75">
      <c r="A5" s="321"/>
      <c r="B5" s="327"/>
      <c r="C5" s="321"/>
      <c r="D5" s="328"/>
      <c r="E5" s="327"/>
    </row>
    <row r="6" spans="1:5" ht="12.75">
      <c r="A6" s="321" t="s">
        <v>466</v>
      </c>
      <c r="B6" s="327">
        <f>+'1.Pénzügyi mérleg'!C59</f>
        <v>2257884111</v>
      </c>
      <c r="C6" s="321" t="s">
        <v>467</v>
      </c>
      <c r="D6" s="328">
        <f>+'2.1.Műküdési kiadások'!C18+'2.2.Felhalm.kiadások  '!C17</f>
        <v>2257884111</v>
      </c>
      <c r="E6" s="327">
        <f>+B6-D6</f>
        <v>0</v>
      </c>
    </row>
    <row r="7" spans="1:5" ht="12.75">
      <c r="A7" s="321" t="s">
        <v>468</v>
      </c>
      <c r="B7" s="327">
        <f>+'1.Pénzügyi mérleg'!C83</f>
        <v>958677219</v>
      </c>
      <c r="C7" s="321" t="s">
        <v>469</v>
      </c>
      <c r="D7" s="328">
        <f>+'2.1.Műküdési kiadások'!C27+'2.2.Felhalm.kiadások  '!C30</f>
        <v>958677219</v>
      </c>
      <c r="E7" s="327">
        <f>+B7-D7</f>
        <v>0</v>
      </c>
    </row>
    <row r="8" spans="1:5" ht="12.75">
      <c r="A8" s="321" t="s">
        <v>470</v>
      </c>
      <c r="B8" s="327">
        <f>+'1.Pénzügyi mérleg'!C84</f>
        <v>3216561330</v>
      </c>
      <c r="C8" s="321" t="s">
        <v>471</v>
      </c>
      <c r="D8" s="328">
        <f>+'2.1.Műküdési kiadások'!C28+'2.2.Felhalm.kiadások  '!C31</f>
        <v>3216561330</v>
      </c>
      <c r="E8" s="327">
        <f>+B8-D8</f>
        <v>0</v>
      </c>
    </row>
    <row r="9" spans="1:5" ht="12.75">
      <c r="A9" s="321"/>
      <c r="B9" s="327"/>
      <c r="C9" s="321"/>
      <c r="D9" s="328"/>
      <c r="E9" s="327"/>
    </row>
    <row r="10" spans="1:5" ht="15">
      <c r="A10" s="296" t="str">
        <f>+ÖSSZEFÜGGÉSEK!A10</f>
        <v>2017. évi módosított előirányzat BEVÉTELEK</v>
      </c>
      <c r="B10" s="329"/>
      <c r="C10" s="322"/>
      <c r="D10" s="328"/>
      <c r="E10" s="327"/>
    </row>
    <row r="11" spans="1:5" ht="12.75">
      <c r="A11" s="321"/>
      <c r="B11" s="327"/>
      <c r="C11" s="321"/>
      <c r="D11" s="328"/>
      <c r="E11" s="327"/>
    </row>
    <row r="12" spans="1:5" ht="12.75">
      <c r="A12" s="321" t="s">
        <v>472</v>
      </c>
      <c r="B12" s="327">
        <f>+'1.Pénzügyi mérleg'!D59</f>
        <v>2838956271</v>
      </c>
      <c r="C12" s="321" t="s">
        <v>478</v>
      </c>
      <c r="D12" s="328">
        <f>+'2.1.Műküdési kiadások'!D18+'2.2.Felhalm.kiadások  '!D17</f>
        <v>2838956271</v>
      </c>
      <c r="E12" s="327">
        <f>+B12-D12</f>
        <v>0</v>
      </c>
    </row>
    <row r="13" spans="1:5" ht="12.75">
      <c r="A13" s="321" t="s">
        <v>473</v>
      </c>
      <c r="B13" s="327">
        <f>+'1.Pénzügyi mérleg'!D83</f>
        <v>1084600880</v>
      </c>
      <c r="C13" s="321" t="s">
        <v>479</v>
      </c>
      <c r="D13" s="328">
        <f>+'2.1.Műküdési kiadások'!D27+'2.2.Felhalm.kiadások  '!D30</f>
        <v>1084600880</v>
      </c>
      <c r="E13" s="327">
        <f>+B13-D13</f>
        <v>0</v>
      </c>
    </row>
    <row r="14" spans="1:5" ht="12.75">
      <c r="A14" s="321" t="s">
        <v>474</v>
      </c>
      <c r="B14" s="327">
        <f>+'1.Pénzügyi mérleg'!D84</f>
        <v>3923557151</v>
      </c>
      <c r="C14" s="321" t="s">
        <v>480</v>
      </c>
      <c r="D14" s="328">
        <f>+'2.1.Műküdési kiadások'!D28+'2.2.Felhalm.kiadások  '!D31</f>
        <v>3923557151</v>
      </c>
      <c r="E14" s="327">
        <f>+B14-D14</f>
        <v>0</v>
      </c>
    </row>
    <row r="15" spans="1:5" ht="12.75">
      <c r="A15" s="321"/>
      <c r="B15" s="327"/>
      <c r="C15" s="321"/>
      <c r="D15" s="328"/>
      <c r="E15" s="327"/>
    </row>
    <row r="16" spans="1:5" ht="13.5">
      <c r="A16" s="330" t="str">
        <f>+ÖSSZEFÜGGÉSEK!A16</f>
        <v>2017. évi teljesítés BEVÉTELEK</v>
      </c>
      <c r="B16" s="295"/>
      <c r="C16" s="322"/>
      <c r="D16" s="328"/>
      <c r="E16" s="327"/>
    </row>
    <row r="17" spans="1:5" ht="12.75">
      <c r="A17" s="321"/>
      <c r="B17" s="327"/>
      <c r="C17" s="321"/>
      <c r="D17" s="328"/>
      <c r="E17" s="327"/>
    </row>
    <row r="18" spans="1:5" ht="12.75">
      <c r="A18" s="321" t="s">
        <v>475</v>
      </c>
      <c r="B18" s="327">
        <f>+'1.Pénzügyi mérleg'!E59</f>
        <v>2708548815</v>
      </c>
      <c r="C18" s="321" t="s">
        <v>481</v>
      </c>
      <c r="D18" s="328">
        <f>+'2.1.Műküdési kiadások'!E18+'2.2.Felhalm.kiadások  '!E17</f>
        <v>2708548815</v>
      </c>
      <c r="E18" s="327">
        <f>+B18-D18</f>
        <v>0</v>
      </c>
    </row>
    <row r="19" spans="1:5" ht="12.75">
      <c r="A19" s="321" t="s">
        <v>476</v>
      </c>
      <c r="B19" s="327">
        <f>+'1.Pénzügyi mérleg'!E83</f>
        <v>1038015767</v>
      </c>
      <c r="C19" s="321" t="s">
        <v>482</v>
      </c>
      <c r="D19" s="328">
        <f>+'2.1.Műküdési kiadások'!E27+'2.2.Felhalm.kiadások  '!E30</f>
        <v>1038015767</v>
      </c>
      <c r="E19" s="327">
        <f>+B19-D19</f>
        <v>0</v>
      </c>
    </row>
    <row r="20" spans="1:5" ht="12.75">
      <c r="A20" s="321" t="s">
        <v>477</v>
      </c>
      <c r="B20" s="327">
        <f>+'1.Pénzügyi mérleg'!E84</f>
        <v>3746564582</v>
      </c>
      <c r="C20" s="321" t="s">
        <v>483</v>
      </c>
      <c r="D20" s="328">
        <f>+'2.1.Műküdési kiadások'!E28+'2.2.Felhalm.kiadások  '!E31</f>
        <v>3746564582</v>
      </c>
      <c r="E20" s="327">
        <f>+B20-D20</f>
        <v>0</v>
      </c>
    </row>
    <row r="21" spans="1:5" ht="12.75">
      <c r="A21" s="321"/>
      <c r="B21" s="327"/>
      <c r="C21" s="321"/>
      <c r="D21" s="328"/>
      <c r="E21" s="327"/>
    </row>
    <row r="22" spans="1:5" ht="15">
      <c r="A22" s="296" t="str">
        <f>+ÖSSZEFÜGGÉSEK!A22</f>
        <v>2017. évi eredeti előirányzat KIADÁSOK</v>
      </c>
      <c r="B22" s="329"/>
      <c r="C22" s="322"/>
      <c r="D22" s="328"/>
      <c r="E22" s="327"/>
    </row>
    <row r="23" spans="1:5" ht="12.75">
      <c r="A23" s="321"/>
      <c r="B23" s="327"/>
      <c r="C23" s="321"/>
      <c r="D23" s="328"/>
      <c r="E23" s="327"/>
    </row>
    <row r="24" spans="1:5" ht="12.75">
      <c r="A24" s="321" t="s">
        <v>484</v>
      </c>
      <c r="B24" s="327">
        <f>+'1.Pénzügyi mérleg'!C125</f>
        <v>2352552891</v>
      </c>
      <c r="C24" s="321" t="s">
        <v>490</v>
      </c>
      <c r="D24" s="328">
        <f>+'2.1.Műküdési kiadások'!G18+'2.2.Felhalm.kiadások  '!G17</f>
        <v>2352552891</v>
      </c>
      <c r="E24" s="327">
        <f>+B24-D24</f>
        <v>0</v>
      </c>
    </row>
    <row r="25" spans="1:5" ht="12.75">
      <c r="A25" s="321" t="s">
        <v>463</v>
      </c>
      <c r="B25" s="327">
        <f>+'1.Pénzügyi mérleg'!C146</f>
        <v>864008439</v>
      </c>
      <c r="C25" s="321" t="s">
        <v>491</v>
      </c>
      <c r="D25" s="328">
        <f>+'2.1.Műküdési kiadások'!G27+'2.2.Felhalm.kiadások  '!G30</f>
        <v>864008439</v>
      </c>
      <c r="E25" s="327">
        <f>+B25-D25</f>
        <v>0</v>
      </c>
    </row>
    <row r="26" spans="1:5" ht="12.75">
      <c r="A26" s="321" t="s">
        <v>485</v>
      </c>
      <c r="B26" s="327">
        <f>+'1.Pénzügyi mérleg'!C147</f>
        <v>3216561330</v>
      </c>
      <c r="C26" s="321" t="s">
        <v>492</v>
      </c>
      <c r="D26" s="328">
        <f>+'2.1.Műküdési kiadások'!G28+'2.2.Felhalm.kiadások  '!G31</f>
        <v>3216561330</v>
      </c>
      <c r="E26" s="327">
        <f>+B26-D26</f>
        <v>0</v>
      </c>
    </row>
    <row r="27" spans="1:5" ht="12.75">
      <c r="A27" s="321"/>
      <c r="B27" s="327"/>
      <c r="C27" s="321"/>
      <c r="D27" s="328"/>
      <c r="E27" s="327"/>
    </row>
    <row r="28" spans="1:5" ht="15">
      <c r="A28" s="296" t="str">
        <f>+ÖSSZEFÜGGÉSEK!A28</f>
        <v>2017. évi módosított előirányzat KIADÁSOK</v>
      </c>
      <c r="B28" s="329"/>
      <c r="C28" s="322"/>
      <c r="D28" s="328"/>
      <c r="E28" s="327"/>
    </row>
    <row r="29" spans="1:5" ht="12.75">
      <c r="A29" s="321"/>
      <c r="B29" s="327"/>
      <c r="C29" s="321"/>
      <c r="D29" s="328"/>
      <c r="E29" s="327"/>
    </row>
    <row r="30" spans="1:5" ht="12.75">
      <c r="A30" s="321" t="s">
        <v>486</v>
      </c>
      <c r="B30" s="327">
        <f>+'1.Pénzügyi mérleg'!D125</f>
        <v>3007013355</v>
      </c>
      <c r="C30" s="321" t="s">
        <v>497</v>
      </c>
      <c r="D30" s="328">
        <f>+'2.1.Műküdési kiadások'!H18+'2.2.Felhalm.kiadások  '!H17</f>
        <v>3007013355</v>
      </c>
      <c r="E30" s="327">
        <f>+B30-D30</f>
        <v>0</v>
      </c>
    </row>
    <row r="31" spans="1:5" ht="12.75">
      <c r="A31" s="321" t="s">
        <v>464</v>
      </c>
      <c r="B31" s="327">
        <f>+'1.Pénzügyi mérleg'!D146</f>
        <v>916543796</v>
      </c>
      <c r="C31" s="321" t="s">
        <v>494</v>
      </c>
      <c r="D31" s="328">
        <f>+'2.1.Műküdési kiadások'!H27+'2.2.Felhalm.kiadások  '!H30</f>
        <v>916543796</v>
      </c>
      <c r="E31" s="327">
        <f>+B31-D31</f>
        <v>0</v>
      </c>
    </row>
    <row r="32" spans="1:5" ht="12.75">
      <c r="A32" s="321" t="s">
        <v>487</v>
      </c>
      <c r="B32" s="327">
        <f>+'1.Pénzügyi mérleg'!D147</f>
        <v>3923557151</v>
      </c>
      <c r="C32" s="321" t="s">
        <v>493</v>
      </c>
      <c r="D32" s="328">
        <f>+'2.1.Műküdési kiadások'!H28+'2.2.Felhalm.kiadások  '!H31</f>
        <v>3923557151</v>
      </c>
      <c r="E32" s="327">
        <f>+B32-D32</f>
        <v>0</v>
      </c>
    </row>
    <row r="33" spans="1:5" ht="12.75">
      <c r="A33" s="321"/>
      <c r="B33" s="327"/>
      <c r="C33" s="321"/>
      <c r="D33" s="328"/>
      <c r="E33" s="327"/>
    </row>
    <row r="34" spans="1:5" ht="15">
      <c r="A34" s="325" t="str">
        <f>+ÖSSZEFÜGGÉSEK!A34</f>
        <v>2017. évi teljesítés KIADÁSOK</v>
      </c>
      <c r="B34" s="329"/>
      <c r="C34" s="322"/>
      <c r="D34" s="328"/>
      <c r="E34" s="327"/>
    </row>
    <row r="35" spans="1:5" ht="12.75">
      <c r="A35" s="321"/>
      <c r="B35" s="327"/>
      <c r="C35" s="321"/>
      <c r="D35" s="328"/>
      <c r="E35" s="327"/>
    </row>
    <row r="36" spans="1:5" ht="12.75">
      <c r="A36" s="321" t="s">
        <v>488</v>
      </c>
      <c r="B36" s="327">
        <f>+'1.Pénzügyi mérleg'!E125</f>
        <v>1761196804</v>
      </c>
      <c r="C36" s="321" t="s">
        <v>498</v>
      </c>
      <c r="D36" s="328">
        <f>+'2.1.Műküdési kiadások'!I18+'2.2.Felhalm.kiadások  '!I17</f>
        <v>1761196804</v>
      </c>
      <c r="E36" s="327">
        <f>+B36-D36</f>
        <v>0</v>
      </c>
    </row>
    <row r="37" spans="1:5" ht="12.75">
      <c r="A37" s="321" t="s">
        <v>465</v>
      </c>
      <c r="B37" s="327">
        <f>+'1.Pénzügyi mérleg'!E146</f>
        <v>845525402</v>
      </c>
      <c r="C37" s="321" t="s">
        <v>496</v>
      </c>
      <c r="D37" s="328">
        <f>+'2.1.Műküdési kiadások'!I27+'2.2.Felhalm.kiadások  '!I30</f>
        <v>845525402</v>
      </c>
      <c r="E37" s="327">
        <f>+B37-D37</f>
        <v>0</v>
      </c>
    </row>
    <row r="38" spans="1:5" ht="12.75">
      <c r="A38" s="321" t="s">
        <v>489</v>
      </c>
      <c r="B38" s="327">
        <f>+'1.Pénzügyi mérleg'!E147</f>
        <v>2606722206</v>
      </c>
      <c r="C38" s="321" t="s">
        <v>495</v>
      </c>
      <c r="D38" s="328">
        <f>+'2.1.Műküdési kiadások'!I28+'2.2.Felhalm.kiadások  '!I31</f>
        <v>2606722206</v>
      </c>
      <c r="E38" s="327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26"/>
  <sheetViews>
    <sheetView workbookViewId="0" topLeftCell="A1">
      <selection activeCell="H1" sqref="H1:H17"/>
    </sheetView>
  </sheetViews>
  <sheetFormatPr defaultColWidth="9.37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821" t="s">
        <v>0</v>
      </c>
      <c r="B1" s="821"/>
      <c r="C1" s="821"/>
      <c r="D1" s="821"/>
      <c r="E1" s="821"/>
      <c r="F1" s="821"/>
      <c r="G1" s="821"/>
      <c r="H1" s="822" t="str">
        <f>+CONCATENATE("3. melléklet a 4/",LEFT(ÖSSZEFÜGGÉSEK!A4,4)+1,". (V.30.) önkormányzati rendelethez")</f>
        <v>3. melléklet a 4/2018. (V.30.) önkormányzati rendelethez</v>
      </c>
    </row>
    <row r="2" spans="1:8" ht="22.5" customHeight="1" thickBot="1">
      <c r="A2" s="25"/>
      <c r="B2" s="10"/>
      <c r="C2" s="10"/>
      <c r="D2" s="10"/>
      <c r="E2" s="10"/>
      <c r="F2" s="820" t="s">
        <v>681</v>
      </c>
      <c r="G2" s="820"/>
      <c r="H2" s="822"/>
    </row>
    <row r="3" spans="1:8" s="6" customFormat="1" ht="50.25" customHeight="1" thickBot="1">
      <c r="A3" s="26" t="s">
        <v>50</v>
      </c>
      <c r="B3" s="27" t="s">
        <v>51</v>
      </c>
      <c r="C3" s="27" t="s">
        <v>52</v>
      </c>
      <c r="D3" s="27" t="str">
        <f>+CONCATENATE("Felhasználás ",LEFT(ÖSSZEFÜGGÉSEK!A4,4)-1,". XII.31-ig")</f>
        <v>Felhasználás 2016. XII.31-ig</v>
      </c>
      <c r="E3" s="27" t="str">
        <f>+CONCATENATE(LEFT(ÖSSZEFÜGGÉSEK!A4,4),". évi módosított előirányzat")</f>
        <v>2017. évi módosított előirányzat</v>
      </c>
      <c r="F3" s="98" t="str">
        <f>+CONCATENATE(LEFT(ÖSSZEFÜGGÉSEK!A4,4),". évi teljesítés")</f>
        <v>2017. évi teljesítés</v>
      </c>
      <c r="G3" s="97" t="str">
        <f>+CONCATENATE("Összes teljesítés ",LEFT(ÖSSZEFÜGGÉSEK!A4,4),". dec. 31-ig")</f>
        <v>Összes teljesítés 2017. dec. 31-ig</v>
      </c>
      <c r="H3" s="822"/>
    </row>
    <row r="4" spans="1:8" s="10" customFormat="1" ht="12" customHeight="1" thickBot="1">
      <c r="A4" s="289" t="s">
        <v>373</v>
      </c>
      <c r="B4" s="290" t="s">
        <v>374</v>
      </c>
      <c r="C4" s="290" t="s">
        <v>375</v>
      </c>
      <c r="D4" s="290" t="s">
        <v>376</v>
      </c>
      <c r="E4" s="290" t="s">
        <v>377</v>
      </c>
      <c r="F4" s="45" t="s">
        <v>453</v>
      </c>
      <c r="G4" s="291" t="s">
        <v>499</v>
      </c>
      <c r="H4" s="822"/>
    </row>
    <row r="5" spans="1:8" ht="12.75">
      <c r="A5" s="449" t="s">
        <v>688</v>
      </c>
      <c r="B5" s="2">
        <v>382077</v>
      </c>
      <c r="C5" s="11">
        <v>2017</v>
      </c>
      <c r="D5" s="2"/>
      <c r="E5" s="2">
        <v>400000</v>
      </c>
      <c r="F5" s="46">
        <v>382077</v>
      </c>
      <c r="G5" s="47">
        <v>382077</v>
      </c>
      <c r="H5" s="822"/>
    </row>
    <row r="6" spans="1:8" ht="15.75" customHeight="1">
      <c r="A6" s="449" t="s">
        <v>689</v>
      </c>
      <c r="B6" s="2">
        <v>1968500</v>
      </c>
      <c r="C6" s="11">
        <v>2017</v>
      </c>
      <c r="D6" s="2"/>
      <c r="E6" s="2">
        <v>1968500</v>
      </c>
      <c r="F6" s="46"/>
      <c r="G6" s="47">
        <v>1968500</v>
      </c>
      <c r="H6" s="822"/>
    </row>
    <row r="7" spans="1:8" ht="15.75" customHeight="1">
      <c r="A7" s="449" t="s">
        <v>967</v>
      </c>
      <c r="B7" s="2">
        <v>12623800</v>
      </c>
      <c r="C7" s="11">
        <v>2017</v>
      </c>
      <c r="D7" s="2"/>
      <c r="E7" s="2">
        <v>12623800</v>
      </c>
      <c r="F7" s="46"/>
      <c r="G7" s="47">
        <v>12623800</v>
      </c>
      <c r="H7" s="822"/>
    </row>
    <row r="8" spans="1:8" ht="15.75" customHeight="1">
      <c r="A8" s="449" t="s">
        <v>690</v>
      </c>
      <c r="B8" s="2">
        <v>19667330</v>
      </c>
      <c r="C8" s="11">
        <v>2017</v>
      </c>
      <c r="D8" s="2">
        <v>13767131</v>
      </c>
      <c r="E8" s="2">
        <v>13767121</v>
      </c>
      <c r="F8" s="46">
        <v>5900199</v>
      </c>
      <c r="G8" s="47">
        <v>19667330</v>
      </c>
      <c r="H8" s="822"/>
    </row>
    <row r="9" spans="1:8" ht="15.75" customHeight="1">
      <c r="A9" s="449" t="s">
        <v>691</v>
      </c>
      <c r="B9" s="2">
        <v>450000</v>
      </c>
      <c r="C9" s="11">
        <v>2017</v>
      </c>
      <c r="D9" s="2"/>
      <c r="E9" s="2">
        <v>450000</v>
      </c>
      <c r="F9" s="46">
        <v>450000</v>
      </c>
      <c r="G9" s="47">
        <v>450000</v>
      </c>
      <c r="H9" s="822"/>
    </row>
    <row r="10" spans="1:8" ht="12.75">
      <c r="A10" s="449" t="s">
        <v>692</v>
      </c>
      <c r="B10" s="2">
        <v>2446386</v>
      </c>
      <c r="C10" s="11">
        <v>2017</v>
      </c>
      <c r="D10" s="2"/>
      <c r="E10" s="2">
        <v>2446386</v>
      </c>
      <c r="F10" s="46"/>
      <c r="G10" s="47">
        <v>2446386</v>
      </c>
      <c r="H10" s="822"/>
    </row>
    <row r="11" spans="1:8" ht="28.5" customHeight="1">
      <c r="A11" s="7" t="s">
        <v>693</v>
      </c>
      <c r="B11" s="2">
        <v>1112735</v>
      </c>
      <c r="C11" s="11">
        <v>2017</v>
      </c>
      <c r="D11" s="2"/>
      <c r="E11" s="2">
        <v>1067210</v>
      </c>
      <c r="F11" s="46">
        <v>1413172</v>
      </c>
      <c r="G11" s="47">
        <v>1413172</v>
      </c>
      <c r="H11" s="822"/>
    </row>
    <row r="12" spans="1:8" ht="15.75" customHeight="1">
      <c r="A12" s="449" t="s">
        <v>863</v>
      </c>
      <c r="B12" s="448">
        <v>3200000</v>
      </c>
      <c r="C12" s="448">
        <v>2017</v>
      </c>
      <c r="D12" s="448"/>
      <c r="E12" s="448">
        <v>3282000</v>
      </c>
      <c r="F12" s="448"/>
      <c r="G12" s="751">
        <v>3200000</v>
      </c>
      <c r="H12" s="822"/>
    </row>
    <row r="13" spans="1:8" ht="46.5" customHeight="1">
      <c r="A13" s="591" t="s">
        <v>864</v>
      </c>
      <c r="B13" s="448">
        <f>719760+24000+383426+81153+71925</f>
        <v>1280264</v>
      </c>
      <c r="C13" s="448">
        <v>2017</v>
      </c>
      <c r="D13" s="448"/>
      <c r="E13" s="448">
        <v>1280264</v>
      </c>
      <c r="F13" s="448"/>
      <c r="G13" s="751">
        <v>1280264</v>
      </c>
      <c r="H13" s="822"/>
    </row>
    <row r="14" spans="1:8" ht="30" customHeight="1">
      <c r="A14" s="7" t="s">
        <v>970</v>
      </c>
      <c r="B14" s="2">
        <v>3458011</v>
      </c>
      <c r="C14" s="11">
        <v>2017</v>
      </c>
      <c r="D14" s="2"/>
      <c r="E14" s="2">
        <v>3458011</v>
      </c>
      <c r="F14" s="46"/>
      <c r="G14" s="47">
        <v>3458011</v>
      </c>
      <c r="H14" s="822"/>
    </row>
    <row r="15" spans="1:8" ht="15.75" customHeight="1">
      <c r="A15" s="7"/>
      <c r="B15" s="2"/>
      <c r="C15" s="11"/>
      <c r="D15" s="2"/>
      <c r="E15" s="2"/>
      <c r="F15" s="46"/>
      <c r="G15" s="47">
        <f>+D15+F15</f>
        <v>0</v>
      </c>
      <c r="H15" s="822"/>
    </row>
    <row r="16" spans="1:8" ht="15.75" customHeight="1" thickBot="1">
      <c r="A16" s="7"/>
      <c r="B16" s="2"/>
      <c r="C16" s="11"/>
      <c r="D16" s="2"/>
      <c r="E16" s="2"/>
      <c r="F16" s="46"/>
      <c r="G16" s="47">
        <f>+D16+F16</f>
        <v>0</v>
      </c>
      <c r="H16" s="822"/>
    </row>
    <row r="17" spans="1:8" s="15" customFormat="1" ht="18" customHeight="1" thickBot="1">
      <c r="A17" s="28" t="s">
        <v>49</v>
      </c>
      <c r="B17" s="13">
        <f>SUM(B5:B16)</f>
        <v>46589103</v>
      </c>
      <c r="C17" s="20"/>
      <c r="D17" s="13">
        <f>SUM(D5:D16)</f>
        <v>13767131</v>
      </c>
      <c r="E17" s="13">
        <f>SUM(E5:E16)</f>
        <v>40743292</v>
      </c>
      <c r="F17" s="13">
        <f>SUM(F5:F16)</f>
        <v>8145448</v>
      </c>
      <c r="G17" s="14">
        <f>SUM(G5:G16)</f>
        <v>46889540</v>
      </c>
      <c r="H17" s="822"/>
    </row>
    <row r="18" spans="6:8" ht="12.75">
      <c r="F18" s="15"/>
      <c r="G18" s="15"/>
      <c r="H18" s="433"/>
    </row>
    <row r="19" ht="12.75">
      <c r="H19" s="433"/>
    </row>
    <row r="20" ht="12.75">
      <c r="H20" s="433"/>
    </row>
    <row r="21" ht="12.75">
      <c r="H21" s="433"/>
    </row>
    <row r="22" ht="12.75">
      <c r="H22" s="433"/>
    </row>
    <row r="23" ht="12.75">
      <c r="H23" s="433"/>
    </row>
    <row r="24" ht="12.75">
      <c r="H24" s="433"/>
    </row>
    <row r="25" ht="12.75">
      <c r="H25" s="433"/>
    </row>
    <row r="26" ht="12.75">
      <c r="H26" s="433"/>
    </row>
  </sheetData>
  <sheetProtection/>
  <mergeCells count="3">
    <mergeCell ref="F2:G2"/>
    <mergeCell ref="A1:G1"/>
    <mergeCell ref="H1:H17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8" scale="10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4"/>
  <sheetViews>
    <sheetView zoomScaleSheetLayoutView="130" workbookViewId="0" topLeftCell="A1">
      <selection activeCell="H1" sqref="H1:H24"/>
    </sheetView>
  </sheetViews>
  <sheetFormatPr defaultColWidth="9.375" defaultRowHeight="12.75"/>
  <cols>
    <col min="1" max="1" width="48.125" style="5" customWidth="1"/>
    <col min="2" max="7" width="15.75390625" style="4" customWidth="1"/>
    <col min="8" max="8" width="4.125" style="4" customWidth="1"/>
    <col min="9" max="9" width="13.75390625" style="4" customWidth="1"/>
    <col min="10" max="16384" width="9.375" style="4" customWidth="1"/>
  </cols>
  <sheetData>
    <row r="1" spans="1:8" ht="24.75" customHeight="1">
      <c r="A1" s="821" t="s">
        <v>1</v>
      </c>
      <c r="B1" s="821"/>
      <c r="C1" s="821"/>
      <c r="D1" s="821"/>
      <c r="E1" s="821"/>
      <c r="F1" s="821"/>
      <c r="G1" s="821"/>
      <c r="H1" s="823" t="str">
        <f>+CONCATENATE("4. melléklet a 4/",LEFT(ÖSSZEFÜGGÉSEK!A4,4)+1,". (V.30.) önkormányzati rendelethez")</f>
        <v>4. melléklet a 4/2018. (V.30.) önkormányzati rendelethez</v>
      </c>
    </row>
    <row r="2" spans="1:8" ht="23.25" customHeight="1" thickBot="1">
      <c r="A2" s="25"/>
      <c r="B2" s="10"/>
      <c r="C2" s="10"/>
      <c r="D2" s="10"/>
      <c r="E2" s="10"/>
      <c r="F2" s="820" t="s">
        <v>696</v>
      </c>
      <c r="G2" s="820"/>
      <c r="H2" s="823"/>
    </row>
    <row r="3" spans="1:8" s="6" customFormat="1" ht="48.75" customHeight="1" thickBot="1">
      <c r="A3" s="26" t="s">
        <v>53</v>
      </c>
      <c r="B3" s="27" t="s">
        <v>51</v>
      </c>
      <c r="C3" s="27" t="s">
        <v>52</v>
      </c>
      <c r="D3" s="27" t="str">
        <f>+'3.Beruházási kiadás'!D3</f>
        <v>Felhasználás 2016. XII.31-ig</v>
      </c>
      <c r="E3" s="27" t="str">
        <f>+'3.Beruházási kiadás'!E3</f>
        <v>2017. évi módosított előirányzat</v>
      </c>
      <c r="F3" s="98" t="str">
        <f>+'3.Beruházási kiadás'!F3</f>
        <v>2017. évi teljesítés</v>
      </c>
      <c r="G3" s="97" t="str">
        <f>+'3.Beruházási kiadás'!G3</f>
        <v>Összes teljesítés 2017. dec. 31-ig</v>
      </c>
      <c r="H3" s="823"/>
    </row>
    <row r="4" spans="1:8" s="10" customFormat="1" ht="15" customHeight="1" thickBot="1">
      <c r="A4" s="289" t="s">
        <v>373</v>
      </c>
      <c r="B4" s="290" t="s">
        <v>374</v>
      </c>
      <c r="C4" s="290" t="s">
        <v>375</v>
      </c>
      <c r="D4" s="290" t="s">
        <v>376</v>
      </c>
      <c r="E4" s="290" t="s">
        <v>377</v>
      </c>
      <c r="F4" s="45" t="s">
        <v>453</v>
      </c>
      <c r="G4" s="291" t="s">
        <v>499</v>
      </c>
      <c r="H4" s="823"/>
    </row>
    <row r="5" spans="1:8" ht="31.5" customHeight="1">
      <c r="A5" s="7" t="s">
        <v>968</v>
      </c>
      <c r="B5" s="2">
        <v>34643872</v>
      </c>
      <c r="C5" s="11">
        <v>2017</v>
      </c>
      <c r="D5" s="2"/>
      <c r="E5" s="2">
        <v>34643872</v>
      </c>
      <c r="F5" s="46"/>
      <c r="G5" s="47">
        <v>31500705</v>
      </c>
      <c r="H5" s="823"/>
    </row>
    <row r="6" spans="1:8" ht="48" customHeight="1">
      <c r="A6" s="7" t="s">
        <v>694</v>
      </c>
      <c r="B6" s="2">
        <v>237157762</v>
      </c>
      <c r="C6" s="11">
        <v>2017</v>
      </c>
      <c r="D6" s="2"/>
      <c r="E6" s="2">
        <v>237157762</v>
      </c>
      <c r="F6" s="46">
        <v>237157762</v>
      </c>
      <c r="G6" s="47">
        <v>234053169</v>
      </c>
      <c r="H6" s="823"/>
    </row>
    <row r="7" spans="1:8" ht="15.75" customHeight="1">
      <c r="A7" s="444"/>
      <c r="B7" s="2"/>
      <c r="C7" s="192"/>
      <c r="D7" s="2"/>
      <c r="E7" s="2"/>
      <c r="F7" s="46"/>
      <c r="G7" s="47">
        <f aca="true" t="shared" si="0" ref="G7:G23">+D7+F7</f>
        <v>0</v>
      </c>
      <c r="H7" s="823"/>
    </row>
    <row r="8" spans="1:8" ht="15.75" customHeight="1">
      <c r="A8" s="444"/>
      <c r="B8" s="2"/>
      <c r="C8" s="192"/>
      <c r="D8" s="2"/>
      <c r="E8" s="2"/>
      <c r="F8" s="46"/>
      <c r="G8" s="47">
        <f t="shared" si="0"/>
        <v>0</v>
      </c>
      <c r="H8" s="823"/>
    </row>
    <row r="9" spans="1:8" ht="15.75" customHeight="1">
      <c r="A9" s="444"/>
      <c r="B9" s="2"/>
      <c r="C9" s="192"/>
      <c r="D9" s="2"/>
      <c r="E9" s="2"/>
      <c r="F9" s="46"/>
      <c r="G9" s="47">
        <f t="shared" si="0"/>
        <v>0</v>
      </c>
      <c r="H9" s="823"/>
    </row>
    <row r="10" spans="1:8" ht="15.75" customHeight="1">
      <c r="A10" s="16"/>
      <c r="B10" s="2"/>
      <c r="C10" s="192"/>
      <c r="D10" s="2"/>
      <c r="E10" s="2"/>
      <c r="F10" s="46"/>
      <c r="G10" s="47">
        <f t="shared" si="0"/>
        <v>0</v>
      </c>
      <c r="H10" s="823"/>
    </row>
    <row r="11" spans="1:8" ht="15.75" customHeight="1">
      <c r="A11" s="16"/>
      <c r="B11" s="2"/>
      <c r="C11" s="192"/>
      <c r="D11" s="2"/>
      <c r="E11" s="2"/>
      <c r="F11" s="46"/>
      <c r="G11" s="47">
        <f t="shared" si="0"/>
        <v>0</v>
      </c>
      <c r="H11" s="823"/>
    </row>
    <row r="12" spans="1:8" ht="15.75" customHeight="1">
      <c r="A12" s="16"/>
      <c r="B12" s="2"/>
      <c r="C12" s="192"/>
      <c r="D12" s="2"/>
      <c r="E12" s="2"/>
      <c r="F12" s="46"/>
      <c r="G12" s="47">
        <f t="shared" si="0"/>
        <v>0</v>
      </c>
      <c r="H12" s="823"/>
    </row>
    <row r="13" spans="1:8" ht="15.75" customHeight="1">
      <c r="A13" s="16"/>
      <c r="B13" s="2"/>
      <c r="C13" s="192"/>
      <c r="D13" s="2"/>
      <c r="E13" s="2"/>
      <c r="F13" s="46"/>
      <c r="G13" s="47">
        <f t="shared" si="0"/>
        <v>0</v>
      </c>
      <c r="H13" s="823"/>
    </row>
    <row r="14" spans="1:8" ht="15.75" customHeight="1">
      <c r="A14" s="16"/>
      <c r="B14" s="2"/>
      <c r="C14" s="192"/>
      <c r="D14" s="2"/>
      <c r="E14" s="2"/>
      <c r="F14" s="46"/>
      <c r="G14" s="47">
        <f t="shared" si="0"/>
        <v>0</v>
      </c>
      <c r="H14" s="823"/>
    </row>
    <row r="15" spans="1:8" ht="15.75" customHeight="1">
      <c r="A15" s="16"/>
      <c r="B15" s="2"/>
      <c r="C15" s="192"/>
      <c r="D15" s="2"/>
      <c r="E15" s="2"/>
      <c r="F15" s="46"/>
      <c r="G15" s="47">
        <f t="shared" si="0"/>
        <v>0</v>
      </c>
      <c r="H15" s="823"/>
    </row>
    <row r="16" spans="1:8" ht="15.75" customHeight="1">
      <c r="A16" s="16"/>
      <c r="B16" s="2"/>
      <c r="C16" s="192"/>
      <c r="D16" s="2"/>
      <c r="E16" s="2"/>
      <c r="F16" s="46"/>
      <c r="G16" s="47">
        <f t="shared" si="0"/>
        <v>0</v>
      </c>
      <c r="H16" s="823"/>
    </row>
    <row r="17" spans="1:8" ht="15.75" customHeight="1">
      <c r="A17" s="16"/>
      <c r="B17" s="2"/>
      <c r="C17" s="192"/>
      <c r="D17" s="2"/>
      <c r="E17" s="2"/>
      <c r="F17" s="46"/>
      <c r="G17" s="47">
        <f t="shared" si="0"/>
        <v>0</v>
      </c>
      <c r="H17" s="823"/>
    </row>
    <row r="18" spans="1:8" ht="15.75" customHeight="1">
      <c r="A18" s="16"/>
      <c r="B18" s="2"/>
      <c r="C18" s="192"/>
      <c r="D18" s="2"/>
      <c r="E18" s="2"/>
      <c r="F18" s="46"/>
      <c r="G18" s="47">
        <f t="shared" si="0"/>
        <v>0</v>
      </c>
      <c r="H18" s="823"/>
    </row>
    <row r="19" spans="1:8" ht="15.75" customHeight="1">
      <c r="A19" s="16"/>
      <c r="B19" s="2"/>
      <c r="C19" s="192"/>
      <c r="D19" s="2"/>
      <c r="E19" s="2"/>
      <c r="F19" s="46"/>
      <c r="G19" s="47">
        <f t="shared" si="0"/>
        <v>0</v>
      </c>
      <c r="H19" s="823"/>
    </row>
    <row r="20" spans="1:8" ht="15.75" customHeight="1">
      <c r="A20" s="16"/>
      <c r="B20" s="2"/>
      <c r="C20" s="192"/>
      <c r="D20" s="2"/>
      <c r="E20" s="2"/>
      <c r="F20" s="46"/>
      <c r="G20" s="47">
        <f t="shared" si="0"/>
        <v>0</v>
      </c>
      <c r="H20" s="823"/>
    </row>
    <row r="21" spans="1:8" ht="15.75" customHeight="1">
      <c r="A21" s="16"/>
      <c r="B21" s="2"/>
      <c r="C21" s="192"/>
      <c r="D21" s="2"/>
      <c r="E21" s="2"/>
      <c r="F21" s="46"/>
      <c r="G21" s="47">
        <f t="shared" si="0"/>
        <v>0</v>
      </c>
      <c r="H21" s="823"/>
    </row>
    <row r="22" spans="1:8" ht="15.75" customHeight="1">
      <c r="A22" s="16"/>
      <c r="B22" s="2"/>
      <c r="C22" s="192"/>
      <c r="D22" s="2"/>
      <c r="E22" s="2"/>
      <c r="F22" s="46"/>
      <c r="G22" s="47">
        <f t="shared" si="0"/>
        <v>0</v>
      </c>
      <c r="H22" s="823"/>
    </row>
    <row r="23" spans="1:8" ht="15.75" customHeight="1" thickBot="1">
      <c r="A23" s="17"/>
      <c r="B23" s="3"/>
      <c r="C23" s="193"/>
      <c r="D23" s="3"/>
      <c r="E23" s="3"/>
      <c r="F23" s="48"/>
      <c r="G23" s="47">
        <f t="shared" si="0"/>
        <v>0</v>
      </c>
      <c r="H23" s="823"/>
    </row>
    <row r="24" spans="1:8" s="15" customFormat="1" ht="18" customHeight="1" thickBot="1">
      <c r="A24" s="28" t="s">
        <v>49</v>
      </c>
      <c r="B24" s="13">
        <f>SUM(B5:B23)</f>
        <v>271801634</v>
      </c>
      <c r="C24" s="20"/>
      <c r="D24" s="13">
        <f>SUM(D5:D23)</f>
        <v>0</v>
      </c>
      <c r="E24" s="13">
        <f>SUM(E5:E23)</f>
        <v>271801634</v>
      </c>
      <c r="F24" s="13">
        <f>SUM(F5:F23)</f>
        <v>237157762</v>
      </c>
      <c r="G24" s="14">
        <f>SUM(G5:G23)</f>
        <v>265553874</v>
      </c>
      <c r="H24" s="823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zoomScale="130" zoomScaleNormal="130" zoomScaleSheetLayoutView="100" workbookViewId="0" topLeftCell="C1">
      <selection activeCell="N1" sqref="N1:N33"/>
    </sheetView>
  </sheetViews>
  <sheetFormatPr defaultColWidth="9.37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824" t="s">
        <v>969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30" t="str">
        <f>+CONCATENATE("5. melléklet a 4/",LEFT(ÖSSZEFÜGGÉSEK!A4,4)+1,". (V.30.) önkormányzati rendelethez    ")</f>
        <v>5. melléklet a 4/2018. (V.30.) önkormányzati rendelethez    </v>
      </c>
    </row>
    <row r="2" spans="1:14" ht="14.2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825" t="s">
        <v>696</v>
      </c>
      <c r="M2" s="825"/>
      <c r="N2" s="830"/>
    </row>
    <row r="3" spans="1:14" ht="13.5" thickBot="1">
      <c r="A3" s="840" t="s">
        <v>87</v>
      </c>
      <c r="B3" s="828" t="s">
        <v>175</v>
      </c>
      <c r="C3" s="828"/>
      <c r="D3" s="828"/>
      <c r="E3" s="828"/>
      <c r="F3" s="828"/>
      <c r="G3" s="828"/>
      <c r="H3" s="828"/>
      <c r="I3" s="828"/>
      <c r="J3" s="835" t="s">
        <v>177</v>
      </c>
      <c r="K3" s="835"/>
      <c r="L3" s="835"/>
      <c r="M3" s="835"/>
      <c r="N3" s="830"/>
    </row>
    <row r="4" spans="1:14" ht="15" customHeight="1" thickBot="1">
      <c r="A4" s="841"/>
      <c r="B4" s="829" t="s">
        <v>178</v>
      </c>
      <c r="C4" s="826" t="s">
        <v>179</v>
      </c>
      <c r="D4" s="839" t="s">
        <v>173</v>
      </c>
      <c r="E4" s="839"/>
      <c r="F4" s="839"/>
      <c r="G4" s="839"/>
      <c r="H4" s="839"/>
      <c r="I4" s="839"/>
      <c r="J4" s="836"/>
      <c r="K4" s="836"/>
      <c r="L4" s="836"/>
      <c r="M4" s="836"/>
      <c r="N4" s="830"/>
    </row>
    <row r="5" spans="1:14" ht="13.5" thickBot="1">
      <c r="A5" s="841"/>
      <c r="B5" s="829"/>
      <c r="C5" s="826"/>
      <c r="D5" s="50" t="s">
        <v>178</v>
      </c>
      <c r="E5" s="50" t="s">
        <v>179</v>
      </c>
      <c r="F5" s="50" t="s">
        <v>178</v>
      </c>
      <c r="G5" s="50" t="s">
        <v>179</v>
      </c>
      <c r="H5" s="50" t="s">
        <v>178</v>
      </c>
      <c r="I5" s="50" t="s">
        <v>179</v>
      </c>
      <c r="J5" s="836"/>
      <c r="K5" s="836"/>
      <c r="L5" s="836"/>
      <c r="M5" s="836"/>
      <c r="N5" s="830"/>
    </row>
    <row r="6" spans="1:14" ht="30.75" thickBot="1">
      <c r="A6" s="842"/>
      <c r="B6" s="826" t="s">
        <v>174</v>
      </c>
      <c r="C6" s="826"/>
      <c r="D6" s="826" t="str">
        <f>+CONCATENATE(LEFT(ÖSSZEFÜGGÉSEK!A4,4),". előtt")</f>
        <v>2017. előtt</v>
      </c>
      <c r="E6" s="826"/>
      <c r="F6" s="826" t="str">
        <f>+CONCATENATE(LEFT(ÖSSZEFÜGGÉSEK!A4,4),". évi")</f>
        <v>2017. évi</v>
      </c>
      <c r="G6" s="826"/>
      <c r="H6" s="829" t="str">
        <f>+CONCATENATE(LEFT(ÖSSZEFÜGGÉSEK!A4,4),". után")</f>
        <v>2017. után</v>
      </c>
      <c r="I6" s="829"/>
      <c r="J6" s="49" t="str">
        <f>+D6</f>
        <v>2017. előtt</v>
      </c>
      <c r="K6" s="50" t="str">
        <f>+F6</f>
        <v>2017. évi</v>
      </c>
      <c r="L6" s="49" t="s">
        <v>38</v>
      </c>
      <c r="M6" s="50" t="str">
        <f>+CONCATENATE("Teljesítés %-a ",LEFT(ÖSSZEFÜGGÉSEK!A4,4),". XII. 31-ig")</f>
        <v>Teljesítés %-a 2017. XII. 31-ig</v>
      </c>
      <c r="N6" s="830"/>
    </row>
    <row r="7" spans="1:14" ht="13.5" thickBot="1">
      <c r="A7" s="51" t="s">
        <v>373</v>
      </c>
      <c r="B7" s="49" t="s">
        <v>374</v>
      </c>
      <c r="C7" s="49" t="s">
        <v>375</v>
      </c>
      <c r="D7" s="52" t="s">
        <v>376</v>
      </c>
      <c r="E7" s="50" t="s">
        <v>377</v>
      </c>
      <c r="F7" s="50" t="s">
        <v>453</v>
      </c>
      <c r="G7" s="50" t="s">
        <v>454</v>
      </c>
      <c r="H7" s="49" t="s">
        <v>455</v>
      </c>
      <c r="I7" s="52" t="s">
        <v>456</v>
      </c>
      <c r="J7" s="52" t="s">
        <v>500</v>
      </c>
      <c r="K7" s="52" t="s">
        <v>501</v>
      </c>
      <c r="L7" s="52" t="s">
        <v>502</v>
      </c>
      <c r="M7" s="53" t="s">
        <v>503</v>
      </c>
      <c r="N7" s="830"/>
    </row>
    <row r="8" spans="1:14" ht="12.75">
      <c r="A8" s="54" t="s">
        <v>88</v>
      </c>
      <c r="B8" s="55"/>
      <c r="C8" s="75"/>
      <c r="D8" s="75"/>
      <c r="E8" s="86"/>
      <c r="F8" s="75"/>
      <c r="G8" s="75"/>
      <c r="H8" s="75"/>
      <c r="I8" s="75"/>
      <c r="J8" s="75"/>
      <c r="K8" s="75"/>
      <c r="L8" s="56">
        <f aca="true" t="shared" si="0" ref="L8:L14">+J8+K8</f>
        <v>0</v>
      </c>
      <c r="M8" s="90">
        <f>IF((C8&lt;&gt;0),ROUND((L8/C8)*100,1),"")</f>
      </c>
      <c r="N8" s="830"/>
    </row>
    <row r="9" spans="1:14" ht="12.75">
      <c r="A9" s="57" t="s">
        <v>99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60">
        <f t="shared" si="0"/>
        <v>0</v>
      </c>
      <c r="M9" s="91">
        <f aca="true" t="shared" si="1" ref="M9:M14">IF((C9&lt;&gt;0),ROUND((L9/C9)*100,1),"")</f>
      </c>
      <c r="N9" s="830"/>
    </row>
    <row r="10" spans="1:14" ht="12.75">
      <c r="A10" s="61" t="s">
        <v>89</v>
      </c>
      <c r="B10" s="62">
        <v>237157762</v>
      </c>
      <c r="C10" s="78">
        <v>237157762</v>
      </c>
      <c r="D10" s="78"/>
      <c r="E10" s="78"/>
      <c r="F10" s="78">
        <v>237157762</v>
      </c>
      <c r="G10" s="78">
        <v>237157762</v>
      </c>
      <c r="H10" s="78"/>
      <c r="I10" s="78"/>
      <c r="J10" s="78"/>
      <c r="K10" s="78">
        <v>237157762</v>
      </c>
      <c r="L10" s="60">
        <v>237157762</v>
      </c>
      <c r="M10" s="91">
        <f t="shared" si="1"/>
        <v>100</v>
      </c>
      <c r="N10" s="830"/>
    </row>
    <row r="11" spans="1:14" ht="12.75">
      <c r="A11" s="61" t="s">
        <v>100</v>
      </c>
      <c r="B11" s="62"/>
      <c r="C11" s="78"/>
      <c r="D11" s="78"/>
      <c r="E11" s="78"/>
      <c r="F11" s="78"/>
      <c r="G11" s="78"/>
      <c r="H11" s="78"/>
      <c r="I11" s="78"/>
      <c r="J11" s="78"/>
      <c r="K11" s="78"/>
      <c r="L11" s="60">
        <f t="shared" si="0"/>
        <v>0</v>
      </c>
      <c r="M11" s="91">
        <f t="shared" si="1"/>
      </c>
      <c r="N11" s="830"/>
    </row>
    <row r="12" spans="1:14" ht="12.75">
      <c r="A12" s="61" t="s">
        <v>90</v>
      </c>
      <c r="B12" s="62"/>
      <c r="C12" s="78"/>
      <c r="D12" s="78"/>
      <c r="E12" s="78"/>
      <c r="F12" s="78"/>
      <c r="G12" s="78"/>
      <c r="H12" s="78"/>
      <c r="I12" s="78"/>
      <c r="J12" s="78"/>
      <c r="K12" s="78"/>
      <c r="L12" s="60">
        <f t="shared" si="0"/>
        <v>0</v>
      </c>
      <c r="M12" s="91">
        <f t="shared" si="1"/>
      </c>
      <c r="N12" s="830"/>
    </row>
    <row r="13" spans="1:14" ht="12.75">
      <c r="A13" s="61" t="s">
        <v>91</v>
      </c>
      <c r="B13" s="62"/>
      <c r="C13" s="78"/>
      <c r="D13" s="78"/>
      <c r="E13" s="78"/>
      <c r="F13" s="78"/>
      <c r="G13" s="78"/>
      <c r="H13" s="78"/>
      <c r="I13" s="78"/>
      <c r="J13" s="78"/>
      <c r="K13" s="78"/>
      <c r="L13" s="60"/>
      <c r="M13" s="91">
        <f t="shared" si="1"/>
      </c>
      <c r="N13" s="830"/>
    </row>
    <row r="14" spans="1:14" ht="15" customHeight="1" thickBot="1">
      <c r="A14" s="63"/>
      <c r="B14" s="64"/>
      <c r="C14" s="82"/>
      <c r="D14" s="82"/>
      <c r="E14" s="82"/>
      <c r="F14" s="82"/>
      <c r="G14" s="82"/>
      <c r="H14" s="82"/>
      <c r="I14" s="82"/>
      <c r="J14" s="82"/>
      <c r="K14" s="82"/>
      <c r="L14" s="60">
        <f t="shared" si="0"/>
        <v>0</v>
      </c>
      <c r="M14" s="92">
        <f t="shared" si="1"/>
      </c>
      <c r="N14" s="830"/>
    </row>
    <row r="15" spans="1:14" ht="13.5" thickBot="1">
      <c r="A15" s="65" t="s">
        <v>93</v>
      </c>
      <c r="B15" s="66">
        <f>B8+SUM(B10:B14)</f>
        <v>237157762</v>
      </c>
      <c r="C15" s="66">
        <f aca="true" t="shared" si="2" ref="C15:L15">C8+SUM(C10:C14)</f>
        <v>237157762</v>
      </c>
      <c r="D15" s="66">
        <f t="shared" si="2"/>
        <v>0</v>
      </c>
      <c r="E15" s="66">
        <f t="shared" si="2"/>
        <v>0</v>
      </c>
      <c r="F15" s="66">
        <f t="shared" si="2"/>
        <v>237157762</v>
      </c>
      <c r="G15" s="66">
        <f t="shared" si="2"/>
        <v>237157762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237157762</v>
      </c>
      <c r="L15" s="66">
        <f t="shared" si="2"/>
        <v>237157762</v>
      </c>
      <c r="M15" s="67">
        <f>IF((C15&lt;&gt;0),ROUND((L15/C15)*100,1),"")</f>
        <v>100</v>
      </c>
      <c r="N15" s="830"/>
    </row>
    <row r="16" spans="1:14" ht="12.75">
      <c r="A16" s="68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830"/>
    </row>
    <row r="17" spans="1:14" ht="13.5" thickBot="1">
      <c r="A17" s="71" t="s">
        <v>92</v>
      </c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830"/>
    </row>
    <row r="18" spans="1:14" ht="12.75">
      <c r="A18" s="74" t="s">
        <v>96</v>
      </c>
      <c r="B18" s="55"/>
      <c r="C18" s="75"/>
      <c r="D18" s="75"/>
      <c r="E18" s="86"/>
      <c r="F18" s="75"/>
      <c r="G18" s="75"/>
      <c r="H18" s="75"/>
      <c r="I18" s="75"/>
      <c r="J18" s="75"/>
      <c r="K18" s="75"/>
      <c r="L18" s="76">
        <f aca="true" t="shared" si="3" ref="L18:L23">+J18+K18</f>
        <v>0</v>
      </c>
      <c r="M18" s="90">
        <f aca="true" t="shared" si="4" ref="M18:M24">IF((C18&lt;&gt;0),ROUND((L18/C18)*100,1),"")</f>
      </c>
      <c r="N18" s="830"/>
    </row>
    <row r="19" spans="1:14" ht="12.75">
      <c r="A19" s="77" t="s">
        <v>97</v>
      </c>
      <c r="B19" s="58"/>
      <c r="C19" s="78"/>
      <c r="D19" s="78"/>
      <c r="E19" s="78"/>
      <c r="F19" s="78"/>
      <c r="G19" s="78"/>
      <c r="H19" s="78"/>
      <c r="I19" s="78"/>
      <c r="J19" s="78"/>
      <c r="K19" s="78"/>
      <c r="L19" s="79"/>
      <c r="M19" s="91">
        <f t="shared" si="4"/>
      </c>
      <c r="N19" s="830"/>
    </row>
    <row r="20" spans="1:14" ht="12.75">
      <c r="A20" s="77" t="s">
        <v>98</v>
      </c>
      <c r="B20" s="62"/>
      <c r="C20" s="78"/>
      <c r="D20" s="78"/>
      <c r="E20" s="78"/>
      <c r="F20" s="78"/>
      <c r="G20" s="78"/>
      <c r="H20" s="78"/>
      <c r="I20" s="78"/>
      <c r="J20" s="78"/>
      <c r="K20" s="78"/>
      <c r="L20" s="79">
        <f t="shared" si="3"/>
        <v>0</v>
      </c>
      <c r="M20" s="91">
        <f t="shared" si="4"/>
      </c>
      <c r="N20" s="830"/>
    </row>
    <row r="21" spans="1:14" ht="12.75">
      <c r="A21" s="77" t="s">
        <v>667</v>
      </c>
      <c r="B21" s="62"/>
      <c r="C21" s="78"/>
      <c r="D21" s="78"/>
      <c r="E21" s="78"/>
      <c r="F21" s="78"/>
      <c r="G21" s="78"/>
      <c r="H21" s="78"/>
      <c r="I21" s="78"/>
      <c r="J21" s="78"/>
      <c r="K21" s="78"/>
      <c r="L21" s="79">
        <f t="shared" si="3"/>
        <v>0</v>
      </c>
      <c r="M21" s="91">
        <f t="shared" si="4"/>
      </c>
      <c r="N21" s="830"/>
    </row>
    <row r="22" spans="1:14" ht="12.75">
      <c r="A22" s="80"/>
      <c r="B22" s="62"/>
      <c r="C22" s="78"/>
      <c r="D22" s="78"/>
      <c r="E22" s="78"/>
      <c r="F22" s="78"/>
      <c r="G22" s="78"/>
      <c r="H22" s="78"/>
      <c r="I22" s="78"/>
      <c r="J22" s="78"/>
      <c r="K22" s="78"/>
      <c r="L22" s="79">
        <f t="shared" si="3"/>
        <v>0</v>
      </c>
      <c r="M22" s="91">
        <f t="shared" si="4"/>
      </c>
      <c r="N22" s="830"/>
    </row>
    <row r="23" spans="1:14" ht="13.5" thickBot="1">
      <c r="A23" s="81"/>
      <c r="B23" s="64"/>
      <c r="C23" s="82"/>
      <c r="D23" s="82"/>
      <c r="E23" s="82"/>
      <c r="F23" s="82"/>
      <c r="G23" s="82"/>
      <c r="H23" s="82"/>
      <c r="I23" s="82"/>
      <c r="J23" s="82"/>
      <c r="K23" s="82"/>
      <c r="L23" s="79">
        <f t="shared" si="3"/>
        <v>0</v>
      </c>
      <c r="M23" s="92">
        <f t="shared" si="4"/>
      </c>
      <c r="N23" s="830"/>
    </row>
    <row r="24" spans="1:14" ht="13.5" thickBot="1">
      <c r="A24" s="83" t="s">
        <v>77</v>
      </c>
      <c r="B24" s="66">
        <f aca="true" t="shared" si="5" ref="B24:J24">SUM(B18:B23)</f>
        <v>0</v>
      </c>
      <c r="C24" s="66">
        <f t="shared" si="5"/>
        <v>0</v>
      </c>
      <c r="D24" s="66">
        <f t="shared" si="5"/>
        <v>0</v>
      </c>
      <c r="E24" s="66">
        <f t="shared" si="5"/>
        <v>0</v>
      </c>
      <c r="F24" s="66">
        <f t="shared" si="5"/>
        <v>0</v>
      </c>
      <c r="G24" s="66">
        <f t="shared" si="5"/>
        <v>0</v>
      </c>
      <c r="H24" s="66">
        <f t="shared" si="5"/>
        <v>0</v>
      </c>
      <c r="I24" s="66">
        <f t="shared" si="5"/>
        <v>0</v>
      </c>
      <c r="J24" s="66">
        <f t="shared" si="5"/>
        <v>0</v>
      </c>
      <c r="K24" s="66">
        <f>SUM(K18:K23)</f>
        <v>0</v>
      </c>
      <c r="L24" s="66">
        <f>SUM(L18:L23)</f>
        <v>0</v>
      </c>
      <c r="M24" s="67">
        <f t="shared" si="4"/>
      </c>
      <c r="N24" s="830"/>
    </row>
    <row r="25" spans="1:14" ht="12.75">
      <c r="A25" s="827"/>
      <c r="B25" s="827"/>
      <c r="C25" s="827"/>
      <c r="D25" s="827"/>
      <c r="E25" s="827"/>
      <c r="F25" s="827"/>
      <c r="G25" s="827"/>
      <c r="H25" s="827"/>
      <c r="I25" s="827"/>
      <c r="J25" s="827"/>
      <c r="K25" s="827"/>
      <c r="L25" s="827"/>
      <c r="M25" s="827"/>
      <c r="N25" s="830"/>
    </row>
    <row r="26" spans="1:14" ht="5.2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30"/>
    </row>
    <row r="27" spans="1:14" ht="15">
      <c r="A27" s="843" t="str">
        <f>+CONCATENATE("Önkormányzaton kívüli EU-s projekthez történő hozzájárulás ",LEFT(ÖSSZEFÜGGÉSEK!A4,4),". évi előirányzata és teljesítése")</f>
        <v>Önkormányzaton kívüli EU-s projekthez történő hozzájárulás 2017. évi előirányzata és teljesítése</v>
      </c>
      <c r="B27" s="843"/>
      <c r="C27" s="843"/>
      <c r="D27" s="843"/>
      <c r="E27" s="843"/>
      <c r="F27" s="843"/>
      <c r="G27" s="843"/>
      <c r="H27" s="843"/>
      <c r="I27" s="843"/>
      <c r="J27" s="843"/>
      <c r="K27" s="843"/>
      <c r="L27" s="843"/>
      <c r="M27" s="843"/>
      <c r="N27" s="830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825" t="s">
        <v>46</v>
      </c>
      <c r="M28" s="825"/>
      <c r="N28" s="830"/>
    </row>
    <row r="29" spans="1:14" ht="13.5" thickBot="1">
      <c r="A29" s="837" t="s">
        <v>94</v>
      </c>
      <c r="B29" s="838"/>
      <c r="C29" s="838"/>
      <c r="D29" s="838"/>
      <c r="E29" s="838"/>
      <c r="F29" s="838"/>
      <c r="G29" s="838"/>
      <c r="H29" s="838"/>
      <c r="I29" s="838"/>
      <c r="J29" s="838"/>
      <c r="K29" s="85" t="s">
        <v>612</v>
      </c>
      <c r="L29" s="85" t="s">
        <v>611</v>
      </c>
      <c r="M29" s="85" t="s">
        <v>177</v>
      </c>
      <c r="N29" s="830"/>
    </row>
    <row r="30" spans="1:14" ht="12.75">
      <c r="A30" s="831"/>
      <c r="B30" s="832"/>
      <c r="C30" s="832"/>
      <c r="D30" s="832"/>
      <c r="E30" s="832"/>
      <c r="F30" s="832"/>
      <c r="G30" s="832"/>
      <c r="H30" s="832"/>
      <c r="I30" s="832"/>
      <c r="J30" s="832"/>
      <c r="K30" s="86"/>
      <c r="L30" s="87"/>
      <c r="M30" s="87"/>
      <c r="N30" s="830"/>
    </row>
    <row r="31" spans="1:14" ht="13.5" thickBot="1">
      <c r="A31" s="833"/>
      <c r="B31" s="834"/>
      <c r="C31" s="834"/>
      <c r="D31" s="834"/>
      <c r="E31" s="834"/>
      <c r="F31" s="834"/>
      <c r="G31" s="834"/>
      <c r="H31" s="834"/>
      <c r="I31" s="834"/>
      <c r="J31" s="834"/>
      <c r="K31" s="88"/>
      <c r="L31" s="82"/>
      <c r="M31" s="82"/>
      <c r="N31" s="830"/>
    </row>
    <row r="32" spans="1:14" ht="13.5" thickBot="1">
      <c r="A32" s="844" t="s">
        <v>39</v>
      </c>
      <c r="B32" s="845"/>
      <c r="C32" s="845"/>
      <c r="D32" s="845"/>
      <c r="E32" s="845"/>
      <c r="F32" s="845"/>
      <c r="G32" s="845"/>
      <c r="H32" s="845"/>
      <c r="I32" s="845"/>
      <c r="J32" s="845"/>
      <c r="K32" s="89">
        <f>SUM(K30:K31)</f>
        <v>0</v>
      </c>
      <c r="L32" s="89">
        <f>SUM(L30:L31)</f>
        <v>0</v>
      </c>
      <c r="M32" s="89">
        <f>SUM(M30:M31)</f>
        <v>0</v>
      </c>
      <c r="N32" s="830"/>
    </row>
    <row r="33" ht="12.75">
      <c r="N33" s="830"/>
    </row>
    <row r="48" ht="12.75">
      <c r="A48" s="9"/>
    </row>
  </sheetData>
  <sheetProtection/>
  <mergeCells count="20">
    <mergeCell ref="N1:N33"/>
    <mergeCell ref="A30:J30"/>
    <mergeCell ref="A31:J31"/>
    <mergeCell ref="J3:M5"/>
    <mergeCell ref="A29:J29"/>
    <mergeCell ref="D4:I4"/>
    <mergeCell ref="A3:A6"/>
    <mergeCell ref="H6:I6"/>
    <mergeCell ref="A27:M27"/>
    <mergeCell ref="A32:J32"/>
    <mergeCell ref="A1:M1"/>
    <mergeCell ref="L28:M28"/>
    <mergeCell ref="L2:M2"/>
    <mergeCell ref="C4:C5"/>
    <mergeCell ref="D6:E6"/>
    <mergeCell ref="A25:M25"/>
    <mergeCell ref="B6:C6"/>
    <mergeCell ref="B3:I3"/>
    <mergeCell ref="B4:B5"/>
    <mergeCell ref="F6:G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3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144"/>
  <sheetViews>
    <sheetView zoomScaleSheetLayoutView="100" workbookViewId="0" topLeftCell="A143">
      <selection activeCell="A1" sqref="A1:I145"/>
    </sheetView>
  </sheetViews>
  <sheetFormatPr defaultColWidth="9.375" defaultRowHeight="12.75"/>
  <cols>
    <col min="1" max="1" width="14.75390625" style="354" customWidth="1"/>
    <col min="2" max="2" width="65.375" style="355" customWidth="1"/>
    <col min="3" max="5" width="17.00390625" style="356" customWidth="1"/>
    <col min="6" max="6" width="17.125" style="31" customWidth="1"/>
    <col min="7" max="8" width="14.125" style="31" customWidth="1"/>
    <col min="9" max="16384" width="9.375" style="31" customWidth="1"/>
  </cols>
  <sheetData>
    <row r="1" spans="1:8" s="334" customFormat="1" ht="16.5" customHeight="1" thickBot="1">
      <c r="A1" s="846" t="str">
        <f>+CONCATENATE("6.1. melléklet a 4/",LEFT(ÖSSZEFÜGGÉSEK!A4,4)+1,". (V.30.) önkormányzati rendelethez")</f>
        <v>6.1. melléklet a 4/2018. (V.30.) önkormányzati rendelethez</v>
      </c>
      <c r="B1" s="846"/>
      <c r="C1" s="846"/>
      <c r="D1" s="846"/>
      <c r="E1" s="846"/>
      <c r="F1" s="846"/>
      <c r="G1" s="846"/>
      <c r="H1" s="846"/>
    </row>
    <row r="2" spans="1:8" s="374" customFormat="1" ht="15.75" customHeight="1" thickBot="1">
      <c r="A2" s="357" t="s">
        <v>47</v>
      </c>
      <c r="B2" s="847" t="s">
        <v>695</v>
      </c>
      <c r="C2" s="848"/>
      <c r="D2" s="848"/>
      <c r="E2" s="848"/>
      <c r="F2" s="848"/>
      <c r="G2" s="848"/>
      <c r="H2" s="849"/>
    </row>
    <row r="3" spans="1:8" s="374" customFormat="1" ht="23.25" thickBot="1">
      <c r="A3" s="373" t="s">
        <v>505</v>
      </c>
      <c r="B3" s="850" t="s">
        <v>504</v>
      </c>
      <c r="C3" s="851"/>
      <c r="D3" s="851"/>
      <c r="E3" s="851"/>
      <c r="F3" s="851"/>
      <c r="G3" s="851"/>
      <c r="H3" s="852"/>
    </row>
    <row r="4" spans="1:8" s="375" customFormat="1" ht="15.75" customHeight="1" thickBot="1">
      <c r="A4" s="335"/>
      <c r="B4" s="335"/>
      <c r="C4" s="336"/>
      <c r="D4" s="336"/>
      <c r="H4" s="336" t="s">
        <v>681</v>
      </c>
    </row>
    <row r="5" spans="1:8" ht="23.25" thickBot="1">
      <c r="A5" s="206" t="s">
        <v>142</v>
      </c>
      <c r="B5" s="207" t="s">
        <v>40</v>
      </c>
      <c r="C5" s="93" t="s">
        <v>172</v>
      </c>
      <c r="D5" s="93" t="s">
        <v>176</v>
      </c>
      <c r="E5" s="337" t="s">
        <v>177</v>
      </c>
      <c r="F5" s="337" t="s">
        <v>972</v>
      </c>
      <c r="G5" s="337" t="s">
        <v>973</v>
      </c>
      <c r="H5" s="337" t="s">
        <v>974</v>
      </c>
    </row>
    <row r="6" spans="1:8" s="376" customFormat="1" ht="12.75" customHeight="1" thickBot="1">
      <c r="A6" s="332" t="s">
        <v>373</v>
      </c>
      <c r="B6" s="333" t="s">
        <v>374</v>
      </c>
      <c r="C6" s="333" t="s">
        <v>375</v>
      </c>
      <c r="D6" s="105" t="s">
        <v>376</v>
      </c>
      <c r="E6" s="103" t="s">
        <v>377</v>
      </c>
      <c r="F6" s="103" t="s">
        <v>453</v>
      </c>
      <c r="G6" s="103" t="s">
        <v>454</v>
      </c>
      <c r="H6" s="103" t="s">
        <v>455</v>
      </c>
    </row>
    <row r="7" spans="1:8" s="376" customFormat="1" ht="15.75" customHeight="1" thickBot="1">
      <c r="A7" s="853" t="s">
        <v>41</v>
      </c>
      <c r="B7" s="854"/>
      <c r="C7" s="854"/>
      <c r="D7" s="854"/>
      <c r="E7" s="854"/>
      <c r="F7" s="854"/>
      <c r="G7" s="854"/>
      <c r="H7" s="855"/>
    </row>
    <row r="8" spans="1:8" s="376" customFormat="1" ht="12" customHeight="1" thickBot="1">
      <c r="A8" s="756" t="s">
        <v>6</v>
      </c>
      <c r="B8" s="757" t="s">
        <v>263</v>
      </c>
      <c r="C8" s="758">
        <f aca="true" t="shared" si="0" ref="C8:H8">SUM(C9:C14)</f>
        <v>829813489</v>
      </c>
      <c r="D8" s="758">
        <f t="shared" si="0"/>
        <v>800021423</v>
      </c>
      <c r="E8" s="759">
        <f t="shared" si="0"/>
        <v>800021423</v>
      </c>
      <c r="F8" s="759">
        <f t="shared" si="0"/>
        <v>800021423</v>
      </c>
      <c r="G8" s="759">
        <f t="shared" si="0"/>
        <v>0</v>
      </c>
      <c r="H8" s="759">
        <f t="shared" si="0"/>
        <v>0</v>
      </c>
    </row>
    <row r="9" spans="1:8" s="353" customFormat="1" ht="10.5" customHeight="1">
      <c r="A9" s="362" t="s">
        <v>66</v>
      </c>
      <c r="B9" s="248" t="s">
        <v>264</v>
      </c>
      <c r="C9" s="239">
        <v>223762367</v>
      </c>
      <c r="D9" s="239">
        <v>224474123</v>
      </c>
      <c r="E9" s="225">
        <v>224474123</v>
      </c>
      <c r="F9" s="225">
        <f aca="true" t="shared" si="1" ref="F9:F14">E9-G9</f>
        <v>224474123</v>
      </c>
      <c r="G9" s="225"/>
      <c r="H9" s="225"/>
    </row>
    <row r="10" spans="1:8" s="377" customFormat="1" ht="17.25" customHeight="1">
      <c r="A10" s="363" t="s">
        <v>67</v>
      </c>
      <c r="B10" s="249" t="s">
        <v>265</v>
      </c>
      <c r="C10" s="238">
        <v>257771400</v>
      </c>
      <c r="D10" s="238">
        <v>269743665</v>
      </c>
      <c r="E10" s="224">
        <v>269743665</v>
      </c>
      <c r="F10" s="225">
        <f t="shared" si="1"/>
        <v>269743665</v>
      </c>
      <c r="G10" s="224"/>
      <c r="H10" s="224"/>
    </row>
    <row r="11" spans="1:8" s="377" customFormat="1" ht="12" customHeight="1">
      <c r="A11" s="363" t="s">
        <v>68</v>
      </c>
      <c r="B11" s="249" t="s">
        <v>266</v>
      </c>
      <c r="C11" s="238">
        <v>225734725</v>
      </c>
      <c r="D11" s="238">
        <v>265850922</v>
      </c>
      <c r="E11" s="224">
        <v>265850922</v>
      </c>
      <c r="F11" s="225">
        <f t="shared" si="1"/>
        <v>265850922</v>
      </c>
      <c r="G11" s="224"/>
      <c r="H11" s="224"/>
    </row>
    <row r="12" spans="1:8" s="377" customFormat="1" ht="12" customHeight="1">
      <c r="A12" s="363" t="s">
        <v>69</v>
      </c>
      <c r="B12" s="249" t="s">
        <v>267</v>
      </c>
      <c r="C12" s="238">
        <v>14452920</v>
      </c>
      <c r="D12" s="238">
        <v>17853151</v>
      </c>
      <c r="E12" s="224">
        <v>17853151</v>
      </c>
      <c r="F12" s="225">
        <f t="shared" si="1"/>
        <v>17853151</v>
      </c>
      <c r="G12" s="224"/>
      <c r="H12" s="224"/>
    </row>
    <row r="13" spans="1:8" s="377" customFormat="1" ht="12" customHeight="1">
      <c r="A13" s="363" t="s">
        <v>101</v>
      </c>
      <c r="B13" s="249" t="s">
        <v>268</v>
      </c>
      <c r="C13" s="238">
        <v>108092077</v>
      </c>
      <c r="D13" s="238">
        <v>22099562</v>
      </c>
      <c r="E13" s="224">
        <v>22099562</v>
      </c>
      <c r="F13" s="225">
        <f t="shared" si="1"/>
        <v>22099562</v>
      </c>
      <c r="G13" s="224"/>
      <c r="H13" s="224"/>
    </row>
    <row r="14" spans="1:8" s="353" customFormat="1" ht="12" customHeight="1" thickBot="1">
      <c r="A14" s="364" t="s">
        <v>70</v>
      </c>
      <c r="B14" s="232" t="s">
        <v>269</v>
      </c>
      <c r="C14" s="240"/>
      <c r="D14" s="240"/>
      <c r="E14" s="226"/>
      <c r="F14" s="225">
        <f t="shared" si="1"/>
        <v>0</v>
      </c>
      <c r="G14" s="226"/>
      <c r="H14" s="226"/>
    </row>
    <row r="15" spans="1:8" s="353" customFormat="1" ht="12" customHeight="1" thickBot="1">
      <c r="A15" s="217" t="s">
        <v>7</v>
      </c>
      <c r="B15" s="230" t="s">
        <v>270</v>
      </c>
      <c r="C15" s="237">
        <f aca="true" t="shared" si="2" ref="C15:H15">SUM(C16:C20)</f>
        <v>0</v>
      </c>
      <c r="D15" s="237">
        <f t="shared" si="2"/>
        <v>8658300</v>
      </c>
      <c r="E15" s="223">
        <f t="shared" si="2"/>
        <v>16942449</v>
      </c>
      <c r="F15" s="223">
        <f t="shared" si="2"/>
        <v>14942449</v>
      </c>
      <c r="G15" s="223">
        <f t="shared" si="2"/>
        <v>2000000</v>
      </c>
      <c r="H15" s="223">
        <f t="shared" si="2"/>
        <v>0</v>
      </c>
    </row>
    <row r="16" spans="1:8" s="353" customFormat="1" ht="12" customHeight="1">
      <c r="A16" s="362" t="s">
        <v>72</v>
      </c>
      <c r="B16" s="248" t="s">
        <v>271</v>
      </c>
      <c r="C16" s="239"/>
      <c r="D16" s="239">
        <v>240300</v>
      </c>
      <c r="E16" s="225">
        <v>240300</v>
      </c>
      <c r="F16" s="225">
        <v>240300</v>
      </c>
      <c r="G16" s="225"/>
      <c r="H16" s="225"/>
    </row>
    <row r="17" spans="1:8" s="353" customFormat="1" ht="12" customHeight="1">
      <c r="A17" s="363" t="s">
        <v>73</v>
      </c>
      <c r="B17" s="249" t="s">
        <v>272</v>
      </c>
      <c r="C17" s="238"/>
      <c r="D17" s="238"/>
      <c r="E17" s="224"/>
      <c r="F17" s="224"/>
      <c r="G17" s="224"/>
      <c r="H17" s="224"/>
    </row>
    <row r="18" spans="1:8" s="353" customFormat="1" ht="12" customHeight="1">
      <c r="A18" s="363" t="s">
        <v>74</v>
      </c>
      <c r="B18" s="249" t="s">
        <v>273</v>
      </c>
      <c r="C18" s="238"/>
      <c r="D18" s="238"/>
      <c r="E18" s="224"/>
      <c r="F18" s="224"/>
      <c r="G18" s="224"/>
      <c r="H18" s="224"/>
    </row>
    <row r="19" spans="1:8" s="353" customFormat="1" ht="12" customHeight="1">
      <c r="A19" s="363" t="s">
        <v>75</v>
      </c>
      <c r="B19" s="249" t="s">
        <v>274</v>
      </c>
      <c r="C19" s="238"/>
      <c r="D19" s="238"/>
      <c r="E19" s="224"/>
      <c r="F19" s="224"/>
      <c r="G19" s="224"/>
      <c r="H19" s="224"/>
    </row>
    <row r="20" spans="1:8" s="353" customFormat="1" ht="12" customHeight="1">
      <c r="A20" s="363" t="s">
        <v>76</v>
      </c>
      <c r="B20" s="249" t="s">
        <v>275</v>
      </c>
      <c r="C20" s="238"/>
      <c r="D20" s="238">
        <v>8418000</v>
      </c>
      <c r="E20" s="224">
        <v>16702149</v>
      </c>
      <c r="F20" s="224">
        <f>E20-G20</f>
        <v>14702149</v>
      </c>
      <c r="G20" s="224">
        <v>2000000</v>
      </c>
      <c r="H20" s="224"/>
    </row>
    <row r="21" spans="1:8" s="377" customFormat="1" ht="12" customHeight="1" thickBot="1">
      <c r="A21" s="364" t="s">
        <v>83</v>
      </c>
      <c r="B21" s="232" t="s">
        <v>276</v>
      </c>
      <c r="C21" s="240"/>
      <c r="D21" s="240"/>
      <c r="E21" s="226"/>
      <c r="F21" s="226"/>
      <c r="G21" s="226"/>
      <c r="H21" s="226"/>
    </row>
    <row r="22" spans="1:8" s="377" customFormat="1" ht="12" customHeight="1" thickBot="1">
      <c r="A22" s="217" t="s">
        <v>8</v>
      </c>
      <c r="B22" s="215" t="s">
        <v>277</v>
      </c>
      <c r="C22" s="237">
        <f aca="true" t="shared" si="3" ref="C22:H22">SUM(C23:C27)</f>
        <v>637157762</v>
      </c>
      <c r="D22" s="237">
        <f t="shared" si="3"/>
        <v>1127175458</v>
      </c>
      <c r="E22" s="223">
        <f t="shared" si="3"/>
        <v>1104479138</v>
      </c>
      <c r="F22" s="223">
        <f t="shared" si="3"/>
        <v>1104479138</v>
      </c>
      <c r="G22" s="223">
        <f t="shared" si="3"/>
        <v>0</v>
      </c>
      <c r="H22" s="223">
        <f t="shared" si="3"/>
        <v>0</v>
      </c>
    </row>
    <row r="23" spans="1:8" s="377" customFormat="1" ht="12" customHeight="1">
      <c r="A23" s="362" t="s">
        <v>55</v>
      </c>
      <c r="B23" s="248" t="s">
        <v>278</v>
      </c>
      <c r="C23" s="239">
        <v>400000000</v>
      </c>
      <c r="D23" s="239">
        <v>425499529</v>
      </c>
      <c r="E23" s="225">
        <v>425499529</v>
      </c>
      <c r="F23" s="225">
        <v>425499529</v>
      </c>
      <c r="G23" s="225"/>
      <c r="H23" s="225"/>
    </row>
    <row r="24" spans="1:8" s="353" customFormat="1" ht="12" customHeight="1">
      <c r="A24" s="363" t="s">
        <v>56</v>
      </c>
      <c r="B24" s="249" t="s">
        <v>279</v>
      </c>
      <c r="C24" s="238"/>
      <c r="D24" s="238"/>
      <c r="E24" s="224"/>
      <c r="F24" s="224"/>
      <c r="G24" s="224"/>
      <c r="H24" s="224"/>
    </row>
    <row r="25" spans="1:8" s="377" customFormat="1" ht="12" customHeight="1">
      <c r="A25" s="363" t="s">
        <v>57</v>
      </c>
      <c r="B25" s="249" t="s">
        <v>280</v>
      </c>
      <c r="C25" s="238"/>
      <c r="D25" s="238"/>
      <c r="E25" s="224"/>
      <c r="F25" s="224"/>
      <c r="G25" s="224"/>
      <c r="H25" s="224"/>
    </row>
    <row r="26" spans="1:8" s="377" customFormat="1" ht="12" customHeight="1">
      <c r="A26" s="363" t="s">
        <v>58</v>
      </c>
      <c r="B26" s="249" t="s">
        <v>281</v>
      </c>
      <c r="C26" s="238"/>
      <c r="D26" s="238"/>
      <c r="E26" s="224"/>
      <c r="F26" s="224"/>
      <c r="G26" s="224"/>
      <c r="H26" s="224"/>
    </row>
    <row r="27" spans="1:8" s="377" customFormat="1" ht="12" customHeight="1">
      <c r="A27" s="363" t="s">
        <v>115</v>
      </c>
      <c r="B27" s="249" t="s">
        <v>282</v>
      </c>
      <c r="C27" s="238">
        <v>237157762</v>
      </c>
      <c r="D27" s="238">
        <v>701675929</v>
      </c>
      <c r="E27" s="224">
        <v>678979609</v>
      </c>
      <c r="F27" s="224">
        <v>678979609</v>
      </c>
      <c r="G27" s="224"/>
      <c r="H27" s="224"/>
    </row>
    <row r="28" spans="1:8" s="377" customFormat="1" ht="12" customHeight="1" thickBot="1">
      <c r="A28" s="364" t="s">
        <v>116</v>
      </c>
      <c r="B28" s="250" t="s">
        <v>283</v>
      </c>
      <c r="C28" s="240"/>
      <c r="D28" s="240"/>
      <c r="E28" s="226"/>
      <c r="F28" s="226"/>
      <c r="G28" s="226"/>
      <c r="H28" s="226"/>
    </row>
    <row r="29" spans="1:8" s="377" customFormat="1" ht="12" customHeight="1" thickBot="1">
      <c r="A29" s="217" t="s">
        <v>117</v>
      </c>
      <c r="B29" s="215" t="s">
        <v>284</v>
      </c>
      <c r="C29" s="243">
        <f aca="true" t="shared" si="4" ref="C29:H29">SUM(C30:C32)</f>
        <v>418000000</v>
      </c>
      <c r="D29" s="243">
        <f t="shared" si="4"/>
        <v>418000000</v>
      </c>
      <c r="E29" s="243">
        <f t="shared" si="4"/>
        <v>375190472</v>
      </c>
      <c r="F29" s="243">
        <f t="shared" si="4"/>
        <v>375190472</v>
      </c>
      <c r="G29" s="243">
        <f t="shared" si="4"/>
        <v>0</v>
      </c>
      <c r="H29" s="243">
        <f t="shared" si="4"/>
        <v>0</v>
      </c>
    </row>
    <row r="30" spans="1:8" s="377" customFormat="1" ht="12" customHeight="1">
      <c r="A30" s="363" t="s">
        <v>285</v>
      </c>
      <c r="B30" s="249" t="s">
        <v>682</v>
      </c>
      <c r="C30" s="238">
        <v>52000000</v>
      </c>
      <c r="D30" s="238">
        <v>52000000</v>
      </c>
      <c r="E30" s="224">
        <v>49550885</v>
      </c>
      <c r="F30" s="224">
        <v>49550885</v>
      </c>
      <c r="G30" s="224"/>
      <c r="H30" s="224"/>
    </row>
    <row r="31" spans="1:8" s="377" customFormat="1" ht="12" customHeight="1">
      <c r="A31" s="363" t="s">
        <v>287</v>
      </c>
      <c r="B31" s="249" t="s">
        <v>683</v>
      </c>
      <c r="C31" s="238">
        <v>361000000</v>
      </c>
      <c r="D31" s="238">
        <v>361000000</v>
      </c>
      <c r="E31" s="224">
        <v>321455911</v>
      </c>
      <c r="F31" s="224">
        <v>321455911</v>
      </c>
      <c r="G31" s="224"/>
      <c r="H31" s="224"/>
    </row>
    <row r="32" spans="1:8" s="377" customFormat="1" ht="12" customHeight="1" thickBot="1">
      <c r="A32" s="364" t="s">
        <v>288</v>
      </c>
      <c r="B32" s="250" t="s">
        <v>290</v>
      </c>
      <c r="C32" s="240">
        <v>5000000</v>
      </c>
      <c r="D32" s="240">
        <v>5000000</v>
      </c>
      <c r="E32" s="226">
        <v>4183676</v>
      </c>
      <c r="F32" s="226">
        <v>4183676</v>
      </c>
      <c r="G32" s="226"/>
      <c r="H32" s="226"/>
    </row>
    <row r="33" spans="1:8" s="377" customFormat="1" ht="12" customHeight="1" thickBot="1">
      <c r="A33" s="217" t="s">
        <v>10</v>
      </c>
      <c r="B33" s="215" t="s">
        <v>291</v>
      </c>
      <c r="C33" s="237">
        <f aca="true" t="shared" si="5" ref="C33:H33">SUM(C34:C43)</f>
        <v>98803860</v>
      </c>
      <c r="D33" s="237">
        <f t="shared" si="5"/>
        <v>145833341</v>
      </c>
      <c r="E33" s="223">
        <f t="shared" si="5"/>
        <v>119775439</v>
      </c>
      <c r="F33" s="223">
        <f t="shared" si="5"/>
        <v>119394439</v>
      </c>
      <c r="G33" s="223">
        <f t="shared" si="5"/>
        <v>381000</v>
      </c>
      <c r="H33" s="223">
        <f t="shared" si="5"/>
        <v>0</v>
      </c>
    </row>
    <row r="34" spans="1:8" s="377" customFormat="1" ht="12" customHeight="1">
      <c r="A34" s="362" t="s">
        <v>59</v>
      </c>
      <c r="B34" s="248" t="s">
        <v>292</v>
      </c>
      <c r="C34" s="239"/>
      <c r="D34" s="239"/>
      <c r="E34" s="225">
        <v>598285</v>
      </c>
      <c r="F34" s="225">
        <f>E34-G34</f>
        <v>598285</v>
      </c>
      <c r="G34" s="225"/>
      <c r="H34" s="225"/>
    </row>
    <row r="35" spans="1:8" s="377" customFormat="1" ht="12" customHeight="1">
      <c r="A35" s="363" t="s">
        <v>60</v>
      </c>
      <c r="B35" s="249" t="s">
        <v>293</v>
      </c>
      <c r="C35" s="238">
        <v>51498000</v>
      </c>
      <c r="D35" s="238">
        <v>71774025</v>
      </c>
      <c r="E35" s="224">
        <v>71774025</v>
      </c>
      <c r="F35" s="225">
        <f aca="true" t="shared" si="6" ref="F35:F43">E35-G35</f>
        <v>71774025</v>
      </c>
      <c r="G35" s="224"/>
      <c r="H35" s="224"/>
    </row>
    <row r="36" spans="1:8" s="377" customFormat="1" ht="12" customHeight="1">
      <c r="A36" s="363" t="s">
        <v>61</v>
      </c>
      <c r="B36" s="249" t="s">
        <v>294</v>
      </c>
      <c r="C36" s="238">
        <v>10040000</v>
      </c>
      <c r="D36" s="238">
        <v>10040000</v>
      </c>
      <c r="E36" s="224">
        <v>11016519</v>
      </c>
      <c r="F36" s="225">
        <f t="shared" si="6"/>
        <v>11016519</v>
      </c>
      <c r="G36" s="224"/>
      <c r="H36" s="224"/>
    </row>
    <row r="37" spans="1:8" s="377" customFormat="1" ht="12" customHeight="1">
      <c r="A37" s="363" t="s">
        <v>119</v>
      </c>
      <c r="B37" s="249" t="s">
        <v>295</v>
      </c>
      <c r="C37" s="238">
        <v>30000000</v>
      </c>
      <c r="D37" s="238">
        <v>30000000</v>
      </c>
      <c r="E37" s="224">
        <v>0</v>
      </c>
      <c r="F37" s="225">
        <f t="shared" si="6"/>
        <v>0</v>
      </c>
      <c r="G37" s="224"/>
      <c r="H37" s="224"/>
    </row>
    <row r="38" spans="1:8" s="377" customFormat="1" ht="12" customHeight="1">
      <c r="A38" s="363" t="s">
        <v>120</v>
      </c>
      <c r="B38" s="249" t="s">
        <v>296</v>
      </c>
      <c r="C38" s="238"/>
      <c r="D38" s="238"/>
      <c r="E38" s="224"/>
      <c r="F38" s="225">
        <f t="shared" si="6"/>
        <v>0</v>
      </c>
      <c r="G38" s="224"/>
      <c r="H38" s="224"/>
    </row>
    <row r="39" spans="1:8" s="377" customFormat="1" ht="12" customHeight="1">
      <c r="A39" s="363" t="s">
        <v>121</v>
      </c>
      <c r="B39" s="249" t="s">
        <v>297</v>
      </c>
      <c r="C39" s="238">
        <v>6565860</v>
      </c>
      <c r="D39" s="238">
        <v>33319316</v>
      </c>
      <c r="E39" s="224">
        <v>33319316</v>
      </c>
      <c r="F39" s="225">
        <f t="shared" si="6"/>
        <v>33238316</v>
      </c>
      <c r="G39" s="224">
        <v>81000</v>
      </c>
      <c r="H39" s="224"/>
    </row>
    <row r="40" spans="1:8" s="377" customFormat="1" ht="12" customHeight="1">
      <c r="A40" s="363" t="s">
        <v>122</v>
      </c>
      <c r="B40" s="249" t="s">
        <v>298</v>
      </c>
      <c r="C40" s="238"/>
      <c r="D40" s="238"/>
      <c r="E40" s="224"/>
      <c r="F40" s="225">
        <f t="shared" si="6"/>
        <v>0</v>
      </c>
      <c r="G40" s="224"/>
      <c r="H40" s="224"/>
    </row>
    <row r="41" spans="1:8" s="377" customFormat="1" ht="12" customHeight="1">
      <c r="A41" s="363" t="s">
        <v>123</v>
      </c>
      <c r="B41" s="249" t="s">
        <v>299</v>
      </c>
      <c r="C41" s="238">
        <v>700000</v>
      </c>
      <c r="D41" s="238">
        <v>700000</v>
      </c>
      <c r="E41" s="224">
        <v>4992</v>
      </c>
      <c r="F41" s="225">
        <f t="shared" si="6"/>
        <v>4992</v>
      </c>
      <c r="G41" s="224"/>
      <c r="H41" s="224"/>
    </row>
    <row r="42" spans="1:8" s="377" customFormat="1" ht="12" customHeight="1">
      <c r="A42" s="363" t="s">
        <v>300</v>
      </c>
      <c r="B42" s="249" t="s">
        <v>301</v>
      </c>
      <c r="C42" s="241"/>
      <c r="D42" s="241"/>
      <c r="E42" s="227">
        <v>695</v>
      </c>
      <c r="F42" s="225">
        <f t="shared" si="6"/>
        <v>695</v>
      </c>
      <c r="G42" s="227"/>
      <c r="H42" s="227"/>
    </row>
    <row r="43" spans="1:8" s="353" customFormat="1" ht="12" customHeight="1" thickBot="1">
      <c r="A43" s="364" t="s">
        <v>302</v>
      </c>
      <c r="B43" s="250" t="s">
        <v>303</v>
      </c>
      <c r="C43" s="242"/>
      <c r="D43" s="242"/>
      <c r="E43" s="228">
        <v>3061607</v>
      </c>
      <c r="F43" s="225">
        <f t="shared" si="6"/>
        <v>2761607</v>
      </c>
      <c r="G43" s="228">
        <v>300000</v>
      </c>
      <c r="H43" s="228"/>
    </row>
    <row r="44" spans="1:8" s="377" customFormat="1" ht="12" customHeight="1" thickBot="1">
      <c r="A44" s="217" t="s">
        <v>11</v>
      </c>
      <c r="B44" s="215" t="s">
        <v>304</v>
      </c>
      <c r="C44" s="237">
        <f>SUM(C45:C49)</f>
        <v>0</v>
      </c>
      <c r="D44" s="237">
        <f>SUM(D45:D49)</f>
        <v>60513749</v>
      </c>
      <c r="E44" s="223">
        <f>SUM(E45:E49)</f>
        <v>60226553</v>
      </c>
      <c r="F44" s="223">
        <f>SUM(F45:F49)</f>
        <v>60226554</v>
      </c>
      <c r="G44" s="223"/>
      <c r="H44" s="223"/>
    </row>
    <row r="45" spans="1:8" s="377" customFormat="1" ht="12" customHeight="1">
      <c r="A45" s="362" t="s">
        <v>62</v>
      </c>
      <c r="B45" s="248" t="s">
        <v>305</v>
      </c>
      <c r="C45" s="254"/>
      <c r="D45" s="254"/>
      <c r="E45" s="229"/>
      <c r="F45" s="229"/>
      <c r="G45" s="229"/>
      <c r="H45" s="229"/>
    </row>
    <row r="46" spans="1:8" s="377" customFormat="1" ht="12" customHeight="1">
      <c r="A46" s="363" t="s">
        <v>63</v>
      </c>
      <c r="B46" s="249" t="s">
        <v>306</v>
      </c>
      <c r="C46" s="241"/>
      <c r="D46" s="241">
        <v>60513749</v>
      </c>
      <c r="E46" s="227">
        <v>60226553</v>
      </c>
      <c r="F46" s="227">
        <v>60226554</v>
      </c>
      <c r="G46" s="227"/>
      <c r="H46" s="227"/>
    </row>
    <row r="47" spans="1:8" s="377" customFormat="1" ht="12" customHeight="1">
      <c r="A47" s="363" t="s">
        <v>307</v>
      </c>
      <c r="B47" s="249" t="s">
        <v>308</v>
      </c>
      <c r="C47" s="241"/>
      <c r="D47" s="241"/>
      <c r="E47" s="227"/>
      <c r="F47" s="227"/>
      <c r="G47" s="227"/>
      <c r="H47" s="227"/>
    </row>
    <row r="48" spans="1:8" s="377" customFormat="1" ht="12" customHeight="1">
      <c r="A48" s="363" t="s">
        <v>309</v>
      </c>
      <c r="B48" s="249" t="s">
        <v>310</v>
      </c>
      <c r="C48" s="241"/>
      <c r="D48" s="241"/>
      <c r="E48" s="227"/>
      <c r="F48" s="227"/>
      <c r="G48" s="227"/>
      <c r="H48" s="227"/>
    </row>
    <row r="49" spans="1:8" s="377" customFormat="1" ht="12" customHeight="1" thickBot="1">
      <c r="A49" s="364" t="s">
        <v>311</v>
      </c>
      <c r="B49" s="250" t="s">
        <v>312</v>
      </c>
      <c r="C49" s="242"/>
      <c r="D49" s="242"/>
      <c r="E49" s="228"/>
      <c r="F49" s="228"/>
      <c r="G49" s="228"/>
      <c r="H49" s="228"/>
    </row>
    <row r="50" spans="1:8" s="377" customFormat="1" ht="12" customHeight="1" thickBot="1">
      <c r="A50" s="217" t="s">
        <v>124</v>
      </c>
      <c r="B50" s="215" t="s">
        <v>313</v>
      </c>
      <c r="C50" s="237">
        <f>SUM(C51:C53)</f>
        <v>0</v>
      </c>
      <c r="D50" s="237">
        <f>SUM(D51:D53)</f>
        <v>0</v>
      </c>
      <c r="E50" s="223">
        <f>SUM(E51:E53)</f>
        <v>1604500</v>
      </c>
      <c r="F50" s="223">
        <f>SUM(F51:F53)</f>
        <v>4500</v>
      </c>
      <c r="G50" s="223">
        <f>SUM(G51:G53)</f>
        <v>1600000</v>
      </c>
      <c r="H50" s="223"/>
    </row>
    <row r="51" spans="1:8" s="353" customFormat="1" ht="12" customHeight="1">
      <c r="A51" s="362" t="s">
        <v>64</v>
      </c>
      <c r="B51" s="248" t="s">
        <v>314</v>
      </c>
      <c r="C51" s="239"/>
      <c r="D51" s="239"/>
      <c r="E51" s="225"/>
      <c r="F51" s="225"/>
      <c r="G51" s="225"/>
      <c r="H51" s="225"/>
    </row>
    <row r="52" spans="1:8" s="353" customFormat="1" ht="12" customHeight="1">
      <c r="A52" s="363" t="s">
        <v>65</v>
      </c>
      <c r="B52" s="249" t="s">
        <v>315</v>
      </c>
      <c r="C52" s="238"/>
      <c r="D52" s="238"/>
      <c r="E52" s="224">
        <v>4500</v>
      </c>
      <c r="F52" s="224">
        <v>4500</v>
      </c>
      <c r="G52" s="224"/>
      <c r="H52" s="224"/>
    </row>
    <row r="53" spans="1:8" s="353" customFormat="1" ht="12" customHeight="1">
      <c r="A53" s="363" t="s">
        <v>316</v>
      </c>
      <c r="B53" s="249" t="s">
        <v>317</v>
      </c>
      <c r="C53" s="238"/>
      <c r="D53" s="238"/>
      <c r="E53" s="224">
        <v>1600000</v>
      </c>
      <c r="F53" s="224">
        <v>0</v>
      </c>
      <c r="G53" s="224">
        <v>1600000</v>
      </c>
      <c r="H53" s="224"/>
    </row>
    <row r="54" spans="1:8" s="353" customFormat="1" ht="12" customHeight="1" thickBot="1">
      <c r="A54" s="364" t="s">
        <v>318</v>
      </c>
      <c r="B54" s="250" t="s">
        <v>319</v>
      </c>
      <c r="C54" s="240"/>
      <c r="D54" s="240"/>
      <c r="E54" s="226"/>
      <c r="F54" s="226"/>
      <c r="G54" s="226"/>
      <c r="H54" s="226"/>
    </row>
    <row r="55" spans="1:8" s="377" customFormat="1" ht="12" customHeight="1" thickBot="1">
      <c r="A55" s="217" t="s">
        <v>13</v>
      </c>
      <c r="B55" s="230" t="s">
        <v>320</v>
      </c>
      <c r="C55" s="237">
        <f>SUM(C56:C58)</f>
        <v>30000000</v>
      </c>
      <c r="D55" s="237">
        <f>SUM(D56:D58)</f>
        <v>30000000</v>
      </c>
      <c r="E55" s="223">
        <f>SUM(E56:E58)</f>
        <v>49000</v>
      </c>
      <c r="F55" s="223">
        <f>SUM(F56:F58)</f>
        <v>49001</v>
      </c>
      <c r="G55" s="223"/>
      <c r="H55" s="223"/>
    </row>
    <row r="56" spans="1:8" s="377" customFormat="1" ht="12" customHeight="1">
      <c r="A56" s="362" t="s">
        <v>125</v>
      </c>
      <c r="B56" s="248" t="s">
        <v>321</v>
      </c>
      <c r="C56" s="241"/>
      <c r="D56" s="241"/>
      <c r="E56" s="227">
        <v>49000</v>
      </c>
      <c r="F56" s="227">
        <v>49001</v>
      </c>
      <c r="G56" s="227"/>
      <c r="H56" s="227"/>
    </row>
    <row r="57" spans="1:8" s="377" customFormat="1" ht="12" customHeight="1">
      <c r="A57" s="363" t="s">
        <v>126</v>
      </c>
      <c r="B57" s="249" t="s">
        <v>508</v>
      </c>
      <c r="C57" s="241"/>
      <c r="D57" s="241"/>
      <c r="E57" s="227"/>
      <c r="F57" s="227"/>
      <c r="G57" s="227"/>
      <c r="H57" s="227"/>
    </row>
    <row r="58" spans="1:8" s="377" customFormat="1" ht="12" customHeight="1">
      <c r="A58" s="363" t="s">
        <v>151</v>
      </c>
      <c r="B58" s="249" t="s">
        <v>323</v>
      </c>
      <c r="C58" s="241">
        <v>30000000</v>
      </c>
      <c r="D58" s="241">
        <v>30000000</v>
      </c>
      <c r="E58" s="227"/>
      <c r="F58" s="227"/>
      <c r="G58" s="227"/>
      <c r="H58" s="227"/>
    </row>
    <row r="59" spans="1:8" s="377" customFormat="1" ht="12" customHeight="1" thickBot="1">
      <c r="A59" s="364" t="s">
        <v>324</v>
      </c>
      <c r="B59" s="250" t="s">
        <v>325</v>
      </c>
      <c r="C59" s="241"/>
      <c r="D59" s="241"/>
      <c r="E59" s="227"/>
      <c r="F59" s="227"/>
      <c r="G59" s="227"/>
      <c r="H59" s="227"/>
    </row>
    <row r="60" spans="1:8" s="377" customFormat="1" ht="12" customHeight="1" thickBot="1">
      <c r="A60" s="217" t="s">
        <v>14</v>
      </c>
      <c r="B60" s="215" t="s">
        <v>326</v>
      </c>
      <c r="C60" s="243">
        <f>+C8+C15+C22+C29+C33+C44+C50+C55</f>
        <v>2013775111</v>
      </c>
      <c r="D60" s="243">
        <f>+D8+D15+D22+D29+D33+D44+D50+D55</f>
        <v>2590202271</v>
      </c>
      <c r="E60" s="253">
        <f>+E8+E15+E22+E29+E33+E44+E50+E55</f>
        <v>2478288974</v>
      </c>
      <c r="F60" s="253">
        <f>+F8+F15+F22+F29+F33+F44+F50+F55</f>
        <v>2474307976</v>
      </c>
      <c r="G60" s="253">
        <f>+G8+G15+G22+G29+G33+G44+G50+G55</f>
        <v>3981000</v>
      </c>
      <c r="H60" s="253"/>
    </row>
    <row r="61" spans="1:8" s="377" customFormat="1" ht="12" customHeight="1" thickBot="1">
      <c r="A61" s="365" t="s">
        <v>506</v>
      </c>
      <c r="B61" s="230" t="s">
        <v>328</v>
      </c>
      <c r="C61" s="237">
        <f>SUM(C62:C64)</f>
        <v>0</v>
      </c>
      <c r="D61" s="237">
        <f>SUM(D62:D64)</f>
        <v>0</v>
      </c>
      <c r="E61" s="223">
        <f>SUM(E62:E64)</f>
        <v>0</v>
      </c>
      <c r="F61" s="223">
        <f>SUM(F62:F64)</f>
        <v>0</v>
      </c>
      <c r="G61" s="223"/>
      <c r="H61" s="223"/>
    </row>
    <row r="62" spans="1:8" s="377" customFormat="1" ht="12" customHeight="1">
      <c r="A62" s="362" t="s">
        <v>329</v>
      </c>
      <c r="B62" s="248" t="s">
        <v>330</v>
      </c>
      <c r="C62" s="241"/>
      <c r="D62" s="241"/>
      <c r="E62" s="227"/>
      <c r="F62" s="227"/>
      <c r="G62" s="227"/>
      <c r="H62" s="227"/>
    </row>
    <row r="63" spans="1:8" s="377" customFormat="1" ht="12" customHeight="1">
      <c r="A63" s="363" t="s">
        <v>331</v>
      </c>
      <c r="B63" s="249" t="s">
        <v>332</v>
      </c>
      <c r="C63" s="241"/>
      <c r="D63" s="241"/>
      <c r="E63" s="227"/>
      <c r="F63" s="227"/>
      <c r="G63" s="227"/>
      <c r="H63" s="227"/>
    </row>
    <row r="64" spans="1:8" s="377" customFormat="1" ht="12" customHeight="1" thickBot="1">
      <c r="A64" s="364" t="s">
        <v>333</v>
      </c>
      <c r="B64" s="358" t="s">
        <v>334</v>
      </c>
      <c r="C64" s="241"/>
      <c r="D64" s="241"/>
      <c r="E64" s="227"/>
      <c r="F64" s="227"/>
      <c r="G64" s="227"/>
      <c r="H64" s="227"/>
    </row>
    <row r="65" spans="1:8" s="377" customFormat="1" ht="12" customHeight="1" thickBot="1">
      <c r="A65" s="365" t="s">
        <v>335</v>
      </c>
      <c r="B65" s="230" t="s">
        <v>336</v>
      </c>
      <c r="C65" s="237">
        <f>SUM(C66:C69)</f>
        <v>0</v>
      </c>
      <c r="D65" s="237">
        <f>SUM(D66:D69)</f>
        <v>0</v>
      </c>
      <c r="E65" s="223">
        <f>SUM(E66:E69)</f>
        <v>0</v>
      </c>
      <c r="F65" s="223">
        <f>SUM(F66:F69)</f>
        <v>0</v>
      </c>
      <c r="G65" s="223"/>
      <c r="H65" s="223"/>
    </row>
    <row r="66" spans="1:8" s="377" customFormat="1" ht="12" customHeight="1">
      <c r="A66" s="362" t="s">
        <v>102</v>
      </c>
      <c r="B66" s="248" t="s">
        <v>337</v>
      </c>
      <c r="C66" s="241"/>
      <c r="D66" s="241"/>
      <c r="E66" s="227"/>
      <c r="F66" s="227"/>
      <c r="G66" s="227"/>
      <c r="H66" s="227"/>
    </row>
    <row r="67" spans="1:8" s="377" customFormat="1" ht="12" customHeight="1">
      <c r="A67" s="363" t="s">
        <v>103</v>
      </c>
      <c r="B67" s="249" t="s">
        <v>338</v>
      </c>
      <c r="C67" s="241"/>
      <c r="D67" s="241"/>
      <c r="E67" s="227"/>
      <c r="F67" s="227"/>
      <c r="G67" s="227"/>
      <c r="H67" s="227"/>
    </row>
    <row r="68" spans="1:8" s="377" customFormat="1" ht="12" customHeight="1">
      <c r="A68" s="363" t="s">
        <v>339</v>
      </c>
      <c r="B68" s="249" t="s">
        <v>340</v>
      </c>
      <c r="C68" s="241"/>
      <c r="D68" s="241"/>
      <c r="E68" s="227"/>
      <c r="F68" s="227"/>
      <c r="G68" s="227"/>
      <c r="H68" s="227"/>
    </row>
    <row r="69" spans="1:8" s="377" customFormat="1" ht="12" customHeight="1" thickBot="1">
      <c r="A69" s="364" t="s">
        <v>341</v>
      </c>
      <c r="B69" s="250" t="s">
        <v>342</v>
      </c>
      <c r="C69" s="241"/>
      <c r="D69" s="241"/>
      <c r="E69" s="227"/>
      <c r="F69" s="227"/>
      <c r="G69" s="227"/>
      <c r="H69" s="227"/>
    </row>
    <row r="70" spans="1:8" s="377" customFormat="1" ht="12" customHeight="1" thickBot="1">
      <c r="A70" s="365" t="s">
        <v>343</v>
      </c>
      <c r="B70" s="230" t="s">
        <v>344</v>
      </c>
      <c r="C70" s="237">
        <f>SUM(C71:C72)</f>
        <v>120000000</v>
      </c>
      <c r="D70" s="237">
        <f>SUM(D71:D72)</f>
        <v>170322993</v>
      </c>
      <c r="E70" s="223">
        <f>SUM(E71:E72)</f>
        <v>170322993</v>
      </c>
      <c r="F70" s="223">
        <f>SUM(F71:F72)</f>
        <v>170322994</v>
      </c>
      <c r="G70" s="223"/>
      <c r="H70" s="223"/>
    </row>
    <row r="71" spans="1:8" s="377" customFormat="1" ht="12" customHeight="1">
      <c r="A71" s="362" t="s">
        <v>345</v>
      </c>
      <c r="B71" s="248" t="s">
        <v>346</v>
      </c>
      <c r="C71" s="241">
        <v>120000000</v>
      </c>
      <c r="D71" s="241">
        <v>170322993</v>
      </c>
      <c r="E71" s="227">
        <v>170322993</v>
      </c>
      <c r="F71" s="227">
        <v>170322994</v>
      </c>
      <c r="G71" s="227"/>
      <c r="H71" s="227"/>
    </row>
    <row r="72" spans="1:8" s="377" customFormat="1" ht="12" customHeight="1" thickBot="1">
      <c r="A72" s="364" t="s">
        <v>347</v>
      </c>
      <c r="B72" s="250" t="s">
        <v>348</v>
      </c>
      <c r="C72" s="241"/>
      <c r="D72" s="241"/>
      <c r="E72" s="227"/>
      <c r="F72" s="227"/>
      <c r="G72" s="227"/>
      <c r="H72" s="227"/>
    </row>
    <row r="73" spans="1:8" s="377" customFormat="1" ht="12" customHeight="1" thickBot="1">
      <c r="A73" s="365" t="s">
        <v>349</v>
      </c>
      <c r="B73" s="230" t="s">
        <v>350</v>
      </c>
      <c r="C73" s="237">
        <f>SUM(C74:C76)</f>
        <v>0</v>
      </c>
      <c r="D73" s="237">
        <f>SUM(D74:D76)</f>
        <v>0</v>
      </c>
      <c r="E73" s="223">
        <f>SUM(E74:E76)</f>
        <v>24433281</v>
      </c>
      <c r="F73" s="223">
        <f>SUM(F74:F76)</f>
        <v>24433282</v>
      </c>
      <c r="G73" s="223"/>
      <c r="H73" s="223"/>
    </row>
    <row r="74" spans="1:8" s="377" customFormat="1" ht="12" customHeight="1">
      <c r="A74" s="362" t="s">
        <v>351</v>
      </c>
      <c r="B74" s="248" t="s">
        <v>352</v>
      </c>
      <c r="C74" s="241"/>
      <c r="D74" s="241"/>
      <c r="E74" s="227">
        <v>24433281</v>
      </c>
      <c r="F74" s="227">
        <v>24433282</v>
      </c>
      <c r="G74" s="227"/>
      <c r="H74" s="227"/>
    </row>
    <row r="75" spans="1:8" s="377" customFormat="1" ht="12" customHeight="1">
      <c r="A75" s="363" t="s">
        <v>353</v>
      </c>
      <c r="B75" s="249" t="s">
        <v>354</v>
      </c>
      <c r="C75" s="241"/>
      <c r="D75" s="241"/>
      <c r="E75" s="227"/>
      <c r="F75" s="227"/>
      <c r="G75" s="227"/>
      <c r="H75" s="227"/>
    </row>
    <row r="76" spans="1:8" s="377" customFormat="1" ht="12" customHeight="1" thickBot="1">
      <c r="A76" s="364" t="s">
        <v>355</v>
      </c>
      <c r="B76" s="250" t="s">
        <v>356</v>
      </c>
      <c r="C76" s="241"/>
      <c r="D76" s="241"/>
      <c r="E76" s="227"/>
      <c r="F76" s="227"/>
      <c r="G76" s="227"/>
      <c r="H76" s="227"/>
    </row>
    <row r="77" spans="1:8" s="377" customFormat="1" ht="12" customHeight="1" thickBot="1">
      <c r="A77" s="365" t="s">
        <v>357</v>
      </c>
      <c r="B77" s="230" t="s">
        <v>358</v>
      </c>
      <c r="C77" s="237">
        <f>SUM(C78:C81)</f>
        <v>0</v>
      </c>
      <c r="D77" s="237">
        <f>SUM(D78:D81)</f>
        <v>0</v>
      </c>
      <c r="E77" s="223">
        <f>SUM(E78:E81)</f>
        <v>0</v>
      </c>
      <c r="F77" s="223">
        <f>SUM(F78:F81)</f>
        <v>0</v>
      </c>
      <c r="G77" s="223"/>
      <c r="H77" s="223"/>
    </row>
    <row r="78" spans="1:8" s="377" customFormat="1" ht="12" customHeight="1">
      <c r="A78" s="366" t="s">
        <v>359</v>
      </c>
      <c r="B78" s="248" t="s">
        <v>360</v>
      </c>
      <c r="C78" s="241"/>
      <c r="D78" s="241"/>
      <c r="E78" s="227"/>
      <c r="F78" s="227"/>
      <c r="G78" s="227"/>
      <c r="H78" s="227"/>
    </row>
    <row r="79" spans="1:8" s="377" customFormat="1" ht="12" customHeight="1">
      <c r="A79" s="367" t="s">
        <v>361</v>
      </c>
      <c r="B79" s="249" t="s">
        <v>362</v>
      </c>
      <c r="C79" s="241"/>
      <c r="D79" s="241"/>
      <c r="E79" s="227"/>
      <c r="F79" s="227"/>
      <c r="G79" s="227"/>
      <c r="H79" s="227"/>
    </row>
    <row r="80" spans="1:8" s="377" customFormat="1" ht="12" customHeight="1">
      <c r="A80" s="367" t="s">
        <v>363</v>
      </c>
      <c r="B80" s="249" t="s">
        <v>364</v>
      </c>
      <c r="C80" s="241"/>
      <c r="D80" s="241"/>
      <c r="E80" s="227"/>
      <c r="F80" s="227"/>
      <c r="G80" s="227"/>
      <c r="H80" s="227"/>
    </row>
    <row r="81" spans="1:8" s="377" customFormat="1" ht="12" customHeight="1" thickBot="1">
      <c r="A81" s="368" t="s">
        <v>365</v>
      </c>
      <c r="B81" s="250" t="s">
        <v>366</v>
      </c>
      <c r="C81" s="241"/>
      <c r="D81" s="241"/>
      <c r="E81" s="227"/>
      <c r="F81" s="227"/>
      <c r="G81" s="227"/>
      <c r="H81" s="227"/>
    </row>
    <row r="82" spans="1:8" s="377" customFormat="1" ht="12" customHeight="1" thickBot="1">
      <c r="A82" s="365" t="s">
        <v>367</v>
      </c>
      <c r="B82" s="230" t="s">
        <v>368</v>
      </c>
      <c r="C82" s="255"/>
      <c r="D82" s="255"/>
      <c r="E82" s="256"/>
      <c r="F82" s="256"/>
      <c r="G82" s="256"/>
      <c r="H82" s="256"/>
    </row>
    <row r="83" spans="1:8" s="377" customFormat="1" ht="12" customHeight="1" thickBot="1">
      <c r="A83" s="365" t="s">
        <v>369</v>
      </c>
      <c r="B83" s="359" t="s">
        <v>370</v>
      </c>
      <c r="C83" s="243">
        <f>+C61+C65+C70+C73+C77+C82</f>
        <v>120000000</v>
      </c>
      <c r="D83" s="243">
        <f>+D61+D65+D70+D73+D77+D82</f>
        <v>170322993</v>
      </c>
      <c r="E83" s="253">
        <f>+E61+E65+E70+E73+E77+E82</f>
        <v>194756274</v>
      </c>
      <c r="F83" s="253">
        <f>+F61+F65+F70+F73+F77+F82</f>
        <v>194756276</v>
      </c>
      <c r="G83" s="253">
        <f>+G61+G65+G70+G73+G77+G82</f>
        <v>0</v>
      </c>
      <c r="H83" s="253"/>
    </row>
    <row r="84" spans="1:8" s="377" customFormat="1" ht="12" customHeight="1" thickBot="1">
      <c r="A84" s="369" t="s">
        <v>371</v>
      </c>
      <c r="B84" s="360" t="s">
        <v>507</v>
      </c>
      <c r="C84" s="243">
        <f>+C60+C83</f>
        <v>2133775111</v>
      </c>
      <c r="D84" s="243">
        <f>+D60+D83</f>
        <v>2760525264</v>
      </c>
      <c r="E84" s="253">
        <f>+E60+E83</f>
        <v>2673045248</v>
      </c>
      <c r="F84" s="253">
        <f>+F60+F83</f>
        <v>2669064252</v>
      </c>
      <c r="G84" s="253">
        <f>+G60+G83</f>
        <v>3981000</v>
      </c>
      <c r="H84" s="253"/>
    </row>
    <row r="85" spans="1:5" s="377" customFormat="1" ht="15" customHeight="1">
      <c r="A85" s="338"/>
      <c r="B85" s="339"/>
      <c r="C85" s="351"/>
      <c r="D85" s="351"/>
      <c r="E85" s="351"/>
    </row>
    <row r="86" spans="1:5" ht="13.5" thickBot="1">
      <c r="A86" s="340"/>
      <c r="B86" s="341"/>
      <c r="C86" s="352"/>
      <c r="D86" s="352"/>
      <c r="E86" s="352"/>
    </row>
    <row r="87" spans="1:8" s="376" customFormat="1" ht="16.5" customHeight="1" thickBot="1">
      <c r="A87" s="853" t="s">
        <v>42</v>
      </c>
      <c r="B87" s="854"/>
      <c r="C87" s="854"/>
      <c r="D87" s="854"/>
      <c r="E87" s="854"/>
      <c r="F87" s="854"/>
      <c r="G87" s="854"/>
      <c r="H87" s="855"/>
    </row>
    <row r="88" spans="1:8" s="196" customFormat="1" ht="12" customHeight="1" thickBot="1">
      <c r="A88" s="760" t="s">
        <v>6</v>
      </c>
      <c r="B88" s="761" t="s">
        <v>379</v>
      </c>
      <c r="C88" s="762">
        <f aca="true" t="shared" si="7" ref="C88:H88">SUM(C89:C93)</f>
        <v>441817416</v>
      </c>
      <c r="D88" s="762">
        <f t="shared" si="7"/>
        <v>480235755</v>
      </c>
      <c r="E88" s="762">
        <f t="shared" si="7"/>
        <v>364439252</v>
      </c>
      <c r="F88" s="762">
        <f t="shared" si="7"/>
        <v>330953510</v>
      </c>
      <c r="G88" s="762">
        <f t="shared" si="7"/>
        <v>33485742</v>
      </c>
      <c r="H88" s="762">
        <f t="shared" si="7"/>
        <v>0</v>
      </c>
    </row>
    <row r="89" spans="1:8" ht="12" customHeight="1">
      <c r="A89" s="370" t="s">
        <v>66</v>
      </c>
      <c r="B89" s="211" t="s">
        <v>36</v>
      </c>
      <c r="C89" s="344">
        <v>55249607</v>
      </c>
      <c r="D89" s="344">
        <v>56718114</v>
      </c>
      <c r="E89" s="344">
        <v>41779369</v>
      </c>
      <c r="F89" s="344">
        <f>E89-G89</f>
        <v>37108766</v>
      </c>
      <c r="G89" s="344">
        <v>4670603</v>
      </c>
      <c r="H89" s="344"/>
    </row>
    <row r="90" spans="1:8" ht="12" customHeight="1">
      <c r="A90" s="363" t="s">
        <v>67</v>
      </c>
      <c r="B90" s="209" t="s">
        <v>127</v>
      </c>
      <c r="C90" s="345">
        <v>12205175</v>
      </c>
      <c r="D90" s="345">
        <v>12619368</v>
      </c>
      <c r="E90" s="345">
        <v>9551986</v>
      </c>
      <c r="F90" s="345">
        <f>E90-G90</f>
        <v>8290963</v>
      </c>
      <c r="G90" s="345">
        <v>1261023</v>
      </c>
      <c r="H90" s="345"/>
    </row>
    <row r="91" spans="1:8" ht="12" customHeight="1">
      <c r="A91" s="363" t="s">
        <v>68</v>
      </c>
      <c r="B91" s="209" t="s">
        <v>95</v>
      </c>
      <c r="C91" s="347">
        <v>107310615</v>
      </c>
      <c r="D91" s="347">
        <v>169975945</v>
      </c>
      <c r="E91" s="347">
        <v>151929415</v>
      </c>
      <c r="F91" s="347">
        <f>E91-G91</f>
        <v>143465299</v>
      </c>
      <c r="G91" s="347">
        <f>5386116+3078000</f>
        <v>8464116</v>
      </c>
      <c r="H91" s="347"/>
    </row>
    <row r="92" spans="1:8" ht="12" customHeight="1">
      <c r="A92" s="363" t="s">
        <v>69</v>
      </c>
      <c r="B92" s="212" t="s">
        <v>128</v>
      </c>
      <c r="C92" s="347">
        <v>40350000</v>
      </c>
      <c r="D92" s="347">
        <v>49318000</v>
      </c>
      <c r="E92" s="347">
        <v>34319947</v>
      </c>
      <c r="F92" s="347">
        <v>34319947</v>
      </c>
      <c r="G92" s="347"/>
      <c r="H92" s="347"/>
    </row>
    <row r="93" spans="1:8" ht="12" customHeight="1">
      <c r="A93" s="363" t="s">
        <v>78</v>
      </c>
      <c r="B93" s="214" t="s">
        <v>129</v>
      </c>
      <c r="C93" s="347">
        <f>SUM(C94:C104)</f>
        <v>226702019</v>
      </c>
      <c r="D93" s="347">
        <f>SUM(D94:D104)</f>
        <v>191604328</v>
      </c>
      <c r="E93" s="347">
        <f>SUM(E94:E104)</f>
        <v>126858535</v>
      </c>
      <c r="F93" s="347">
        <f>SUM(F94:F104)</f>
        <v>107768535</v>
      </c>
      <c r="G93" s="347">
        <f>SUM(G94:G104)</f>
        <v>19090000</v>
      </c>
      <c r="H93" s="347"/>
    </row>
    <row r="94" spans="1:8" ht="12" customHeight="1">
      <c r="A94" s="363" t="s">
        <v>70</v>
      </c>
      <c r="B94" s="209" t="s">
        <v>380</v>
      </c>
      <c r="C94" s="347"/>
      <c r="D94" s="347">
        <v>3198265</v>
      </c>
      <c r="E94" s="347">
        <v>3198265</v>
      </c>
      <c r="F94" s="347">
        <v>3198265</v>
      </c>
      <c r="G94" s="347"/>
      <c r="H94" s="347"/>
    </row>
    <row r="95" spans="1:8" ht="12" customHeight="1">
      <c r="A95" s="363" t="s">
        <v>71</v>
      </c>
      <c r="B95" s="219" t="s">
        <v>381</v>
      </c>
      <c r="C95" s="347"/>
      <c r="D95" s="347"/>
      <c r="E95" s="347"/>
      <c r="F95" s="347"/>
      <c r="G95" s="347"/>
      <c r="H95" s="347"/>
    </row>
    <row r="96" spans="1:8" ht="12" customHeight="1">
      <c r="A96" s="363" t="s">
        <v>79</v>
      </c>
      <c r="B96" s="220" t="s">
        <v>382</v>
      </c>
      <c r="C96" s="347"/>
      <c r="D96" s="347"/>
      <c r="E96" s="347"/>
      <c r="F96" s="347"/>
      <c r="G96" s="347"/>
      <c r="H96" s="347"/>
    </row>
    <row r="97" spans="1:8" ht="12" customHeight="1">
      <c r="A97" s="363" t="s">
        <v>80</v>
      </c>
      <c r="B97" s="220" t="s">
        <v>383</v>
      </c>
      <c r="C97" s="347"/>
      <c r="D97" s="347"/>
      <c r="E97" s="347"/>
      <c r="F97" s="347"/>
      <c r="G97" s="347"/>
      <c r="H97" s="347"/>
    </row>
    <row r="98" spans="1:8" ht="12" customHeight="1">
      <c r="A98" s="363" t="s">
        <v>81</v>
      </c>
      <c r="B98" s="219" t="s">
        <v>384</v>
      </c>
      <c r="C98" s="347">
        <v>91463884</v>
      </c>
      <c r="D98" s="347">
        <v>110350339</v>
      </c>
      <c r="E98" s="347">
        <v>109157980</v>
      </c>
      <c r="F98" s="347">
        <v>109157980</v>
      </c>
      <c r="G98" s="347"/>
      <c r="H98" s="347"/>
    </row>
    <row r="99" spans="1:8" ht="12" customHeight="1">
      <c r="A99" s="363" t="s">
        <v>82</v>
      </c>
      <c r="B99" s="219" t="s">
        <v>385</v>
      </c>
      <c r="C99" s="347"/>
      <c r="D99" s="347"/>
      <c r="E99" s="347"/>
      <c r="F99" s="347"/>
      <c r="G99" s="347"/>
      <c r="H99" s="347"/>
    </row>
    <row r="100" spans="1:8" ht="12" customHeight="1">
      <c r="A100" s="363" t="s">
        <v>84</v>
      </c>
      <c r="B100" s="220" t="s">
        <v>386</v>
      </c>
      <c r="C100" s="347">
        <v>30000000</v>
      </c>
      <c r="D100" s="347">
        <v>30000000</v>
      </c>
      <c r="E100" s="347"/>
      <c r="F100" s="347"/>
      <c r="G100" s="347"/>
      <c r="H100" s="347"/>
    </row>
    <row r="101" spans="1:8" ht="12" customHeight="1">
      <c r="A101" s="371" t="s">
        <v>130</v>
      </c>
      <c r="B101" s="221" t="s">
        <v>387</v>
      </c>
      <c r="C101" s="347"/>
      <c r="D101" s="347"/>
      <c r="E101" s="347"/>
      <c r="F101" s="347"/>
      <c r="G101" s="347"/>
      <c r="H101" s="347"/>
    </row>
    <row r="102" spans="1:8" ht="12" customHeight="1">
      <c r="A102" s="363" t="s">
        <v>388</v>
      </c>
      <c r="B102" s="221" t="s">
        <v>389</v>
      </c>
      <c r="C102" s="347"/>
      <c r="D102" s="347"/>
      <c r="E102" s="347"/>
      <c r="F102" s="347"/>
      <c r="G102" s="347"/>
      <c r="H102" s="347"/>
    </row>
    <row r="103" spans="1:8" ht="12" customHeight="1">
      <c r="A103" s="364" t="s">
        <v>390</v>
      </c>
      <c r="B103" s="221" t="s">
        <v>391</v>
      </c>
      <c r="C103" s="347">
        <v>14377290</v>
      </c>
      <c r="D103" s="347">
        <v>20082290</v>
      </c>
      <c r="E103" s="347">
        <v>14502290</v>
      </c>
      <c r="F103" s="347">
        <f>E103-G103</f>
        <v>-4587710</v>
      </c>
      <c r="G103" s="347">
        <f>2500000+16590000</f>
        <v>19090000</v>
      </c>
      <c r="H103" s="347"/>
    </row>
    <row r="104" spans="1:8" s="196" customFormat="1" ht="12" customHeight="1" thickBot="1">
      <c r="A104" s="438" t="s">
        <v>654</v>
      </c>
      <c r="B104" s="222" t="s">
        <v>666</v>
      </c>
      <c r="C104" s="349">
        <v>90860845</v>
      </c>
      <c r="D104" s="349">
        <v>27973434</v>
      </c>
      <c r="E104" s="349">
        <v>0</v>
      </c>
      <c r="F104" s="349">
        <v>0</v>
      </c>
      <c r="G104" s="349">
        <v>0</v>
      </c>
      <c r="H104" s="349">
        <v>0</v>
      </c>
    </row>
    <row r="105" spans="1:8" ht="12" customHeight="1" thickBot="1">
      <c r="A105" s="217" t="s">
        <v>7</v>
      </c>
      <c r="B105" s="216" t="s">
        <v>392</v>
      </c>
      <c r="C105" s="233">
        <f aca="true" t="shared" si="8" ref="C105:H105">+C106+C108+C110</f>
        <v>827949256</v>
      </c>
      <c r="D105" s="233">
        <f t="shared" si="8"/>
        <v>1363748713</v>
      </c>
      <c r="E105" s="233">
        <f t="shared" si="8"/>
        <v>352764261</v>
      </c>
      <c r="F105" s="233">
        <f t="shared" si="8"/>
        <v>352764261</v>
      </c>
      <c r="G105" s="233">
        <f t="shared" si="8"/>
        <v>0</v>
      </c>
      <c r="H105" s="233">
        <f t="shared" si="8"/>
        <v>0</v>
      </c>
    </row>
    <row r="106" spans="1:8" ht="12" customHeight="1">
      <c r="A106" s="362" t="s">
        <v>72</v>
      </c>
      <c r="B106" s="209" t="s">
        <v>150</v>
      </c>
      <c r="C106" s="346">
        <v>75327621</v>
      </c>
      <c r="D106" s="346">
        <v>468298344</v>
      </c>
      <c r="E106" s="346">
        <v>25870053</v>
      </c>
      <c r="F106" s="346">
        <v>25870053</v>
      </c>
      <c r="G106" s="346"/>
      <c r="H106" s="346"/>
    </row>
    <row r="107" spans="1:8" ht="12" customHeight="1">
      <c r="A107" s="362" t="s">
        <v>73</v>
      </c>
      <c r="B107" s="213" t="s">
        <v>393</v>
      </c>
      <c r="C107" s="346"/>
      <c r="D107" s="346"/>
      <c r="E107" s="346"/>
      <c r="F107" s="346"/>
      <c r="G107" s="346"/>
      <c r="H107" s="346"/>
    </row>
    <row r="108" spans="1:8" ht="12" customHeight="1">
      <c r="A108" s="362" t="s">
        <v>74</v>
      </c>
      <c r="B108" s="213" t="s">
        <v>131</v>
      </c>
      <c r="C108" s="345">
        <v>680621635</v>
      </c>
      <c r="D108" s="345">
        <v>779875548</v>
      </c>
      <c r="E108" s="345">
        <v>265343014</v>
      </c>
      <c r="F108" s="345">
        <v>265343014</v>
      </c>
      <c r="G108" s="345"/>
      <c r="H108" s="345"/>
    </row>
    <row r="109" spans="1:8" ht="12" customHeight="1">
      <c r="A109" s="362" t="s">
        <v>75</v>
      </c>
      <c r="B109" s="213" t="s">
        <v>394</v>
      </c>
      <c r="C109" s="224"/>
      <c r="D109" s="224"/>
      <c r="E109" s="224"/>
      <c r="F109" s="224"/>
      <c r="G109" s="224"/>
      <c r="H109" s="224"/>
    </row>
    <row r="110" spans="1:8" ht="12" customHeight="1">
      <c r="A110" s="362" t="s">
        <v>76</v>
      </c>
      <c r="B110" s="232" t="s">
        <v>152</v>
      </c>
      <c r="C110" s="224">
        <f>SUM(C111:C118)</f>
        <v>72000000</v>
      </c>
      <c r="D110" s="224">
        <f>SUM(D111:D118)</f>
        <v>115574821</v>
      </c>
      <c r="E110" s="224">
        <f>SUM(E111:E118)</f>
        <v>61551194</v>
      </c>
      <c r="F110" s="224">
        <f>SUM(F111:F118)</f>
        <v>61551194</v>
      </c>
      <c r="G110" s="224"/>
      <c r="H110" s="224"/>
    </row>
    <row r="111" spans="1:8" ht="12" customHeight="1">
      <c r="A111" s="362" t="s">
        <v>83</v>
      </c>
      <c r="B111" s="231" t="s">
        <v>395</v>
      </c>
      <c r="C111" s="224">
        <v>25000000</v>
      </c>
      <c r="D111" s="224">
        <v>50000000</v>
      </c>
      <c r="E111" s="224">
        <v>20380000</v>
      </c>
      <c r="F111" s="224">
        <v>20380000</v>
      </c>
      <c r="G111" s="224"/>
      <c r="H111" s="224"/>
    </row>
    <row r="112" spans="1:8" ht="12" customHeight="1">
      <c r="A112" s="362" t="s">
        <v>85</v>
      </c>
      <c r="B112" s="244" t="s">
        <v>396</v>
      </c>
      <c r="C112" s="224"/>
      <c r="D112" s="224"/>
      <c r="E112" s="224"/>
      <c r="F112" s="224"/>
      <c r="G112" s="224"/>
      <c r="H112" s="224"/>
    </row>
    <row r="113" spans="1:8" ht="12" customHeight="1">
      <c r="A113" s="362" t="s">
        <v>132</v>
      </c>
      <c r="B113" s="220" t="s">
        <v>383</v>
      </c>
      <c r="C113" s="224"/>
      <c r="D113" s="224"/>
      <c r="E113" s="224"/>
      <c r="F113" s="224"/>
      <c r="G113" s="224"/>
      <c r="H113" s="224"/>
    </row>
    <row r="114" spans="1:8" ht="12" customHeight="1">
      <c r="A114" s="362" t="s">
        <v>133</v>
      </c>
      <c r="B114" s="220" t="s">
        <v>397</v>
      </c>
      <c r="C114" s="224"/>
      <c r="D114" s="224"/>
      <c r="E114" s="224"/>
      <c r="F114" s="224"/>
      <c r="G114" s="224"/>
      <c r="H114" s="224"/>
    </row>
    <row r="115" spans="1:8" ht="12" customHeight="1">
      <c r="A115" s="362" t="s">
        <v>134</v>
      </c>
      <c r="B115" s="220" t="s">
        <v>398</v>
      </c>
      <c r="C115" s="224"/>
      <c r="D115" s="224"/>
      <c r="E115" s="224"/>
      <c r="F115" s="224"/>
      <c r="G115" s="224"/>
      <c r="H115" s="224"/>
    </row>
    <row r="116" spans="1:8" ht="12" customHeight="1">
      <c r="A116" s="362" t="s">
        <v>399</v>
      </c>
      <c r="B116" s="220" t="s">
        <v>386</v>
      </c>
      <c r="C116" s="224"/>
      <c r="D116" s="224"/>
      <c r="E116" s="224"/>
      <c r="F116" s="224"/>
      <c r="G116" s="224"/>
      <c r="H116" s="224"/>
    </row>
    <row r="117" spans="1:8" ht="12" customHeight="1">
      <c r="A117" s="362" t="s">
        <v>400</v>
      </c>
      <c r="B117" s="220" t="s">
        <v>401</v>
      </c>
      <c r="C117" s="224"/>
      <c r="D117" s="224"/>
      <c r="E117" s="224"/>
      <c r="F117" s="224"/>
      <c r="G117" s="224"/>
      <c r="H117" s="224"/>
    </row>
    <row r="118" spans="1:8" ht="12" customHeight="1" thickBot="1">
      <c r="A118" s="371" t="s">
        <v>402</v>
      </c>
      <c r="B118" s="220" t="s">
        <v>403</v>
      </c>
      <c r="C118" s="226">
        <v>47000000</v>
      </c>
      <c r="D118" s="226">
        <v>65574821</v>
      </c>
      <c r="E118" s="226">
        <v>41171194</v>
      </c>
      <c r="F118" s="226">
        <f>E118-G118</f>
        <v>41171194</v>
      </c>
      <c r="G118" s="226"/>
      <c r="H118" s="226"/>
    </row>
    <row r="119" spans="1:8" ht="12" customHeight="1" thickBot="1">
      <c r="A119" s="217" t="s">
        <v>8</v>
      </c>
      <c r="B119" s="218" t="s">
        <v>405</v>
      </c>
      <c r="C119" s="233">
        <f aca="true" t="shared" si="9" ref="C119:H119">+C88+C105</f>
        <v>1269766672</v>
      </c>
      <c r="D119" s="233">
        <f t="shared" si="9"/>
        <v>1843984468</v>
      </c>
      <c r="E119" s="233">
        <f t="shared" si="9"/>
        <v>717203513</v>
      </c>
      <c r="F119" s="233">
        <f t="shared" si="9"/>
        <v>683717771</v>
      </c>
      <c r="G119" s="233">
        <f t="shared" si="9"/>
        <v>33485742</v>
      </c>
      <c r="H119" s="233">
        <f t="shared" si="9"/>
        <v>0</v>
      </c>
    </row>
    <row r="120" spans="1:8" ht="12" customHeight="1" thickBot="1">
      <c r="A120" s="217" t="s">
        <v>9</v>
      </c>
      <c r="B120" s="218" t="s">
        <v>668</v>
      </c>
      <c r="C120" s="233">
        <f aca="true" t="shared" si="10" ref="C120:H120">+C121+C122+C123</f>
        <v>0</v>
      </c>
      <c r="D120" s="233">
        <f t="shared" si="10"/>
        <v>0</v>
      </c>
      <c r="E120" s="233">
        <f t="shared" si="10"/>
        <v>0</v>
      </c>
      <c r="F120" s="233">
        <f t="shared" si="10"/>
        <v>0</v>
      </c>
      <c r="G120" s="233">
        <f t="shared" si="10"/>
        <v>0</v>
      </c>
      <c r="H120" s="233">
        <f t="shared" si="10"/>
        <v>0</v>
      </c>
    </row>
    <row r="121" spans="1:8" ht="12" customHeight="1">
      <c r="A121" s="362" t="s">
        <v>285</v>
      </c>
      <c r="B121" s="210" t="s">
        <v>407</v>
      </c>
      <c r="C121" s="224"/>
      <c r="D121" s="224"/>
      <c r="E121" s="224"/>
      <c r="F121" s="224"/>
      <c r="G121" s="224"/>
      <c r="H121" s="224"/>
    </row>
    <row r="122" spans="1:8" ht="12" customHeight="1">
      <c r="A122" s="362" t="s">
        <v>287</v>
      </c>
      <c r="B122" s="210" t="s">
        <v>408</v>
      </c>
      <c r="C122" s="224"/>
      <c r="D122" s="224"/>
      <c r="E122" s="224"/>
      <c r="F122" s="224"/>
      <c r="G122" s="224"/>
      <c r="H122" s="224"/>
    </row>
    <row r="123" spans="1:8" ht="12" customHeight="1" thickBot="1">
      <c r="A123" s="371" t="s">
        <v>288</v>
      </c>
      <c r="B123" s="208" t="s">
        <v>409</v>
      </c>
      <c r="C123" s="224"/>
      <c r="D123" s="224"/>
      <c r="E123" s="224"/>
      <c r="F123" s="224"/>
      <c r="G123" s="224"/>
      <c r="H123" s="224"/>
    </row>
    <row r="124" spans="1:8" ht="12" customHeight="1" thickBot="1">
      <c r="A124" s="217" t="s">
        <v>10</v>
      </c>
      <c r="B124" s="218" t="s">
        <v>669</v>
      </c>
      <c r="C124" s="233">
        <f aca="true" t="shared" si="11" ref="C124:H124">+C125+C126+C127+C128</f>
        <v>0</v>
      </c>
      <c r="D124" s="233">
        <f t="shared" si="11"/>
        <v>0</v>
      </c>
      <c r="E124" s="233">
        <f t="shared" si="11"/>
        <v>0</v>
      </c>
      <c r="F124" s="233">
        <f t="shared" si="11"/>
        <v>0</v>
      </c>
      <c r="G124" s="233">
        <f t="shared" si="11"/>
        <v>0</v>
      </c>
      <c r="H124" s="233">
        <f t="shared" si="11"/>
        <v>0</v>
      </c>
    </row>
    <row r="125" spans="1:8" ht="12" customHeight="1">
      <c r="A125" s="362" t="s">
        <v>59</v>
      </c>
      <c r="B125" s="210" t="s">
        <v>411</v>
      </c>
      <c r="C125" s="224"/>
      <c r="D125" s="224"/>
      <c r="E125" s="224"/>
      <c r="F125" s="224"/>
      <c r="G125" s="224"/>
      <c r="H125" s="224"/>
    </row>
    <row r="126" spans="1:8" ht="12" customHeight="1">
      <c r="A126" s="362" t="s">
        <v>60</v>
      </c>
      <c r="B126" s="210" t="s">
        <v>412</v>
      </c>
      <c r="C126" s="224"/>
      <c r="D126" s="224"/>
      <c r="E126" s="224"/>
      <c r="F126" s="224"/>
      <c r="G126" s="224"/>
      <c r="H126" s="224"/>
    </row>
    <row r="127" spans="1:8" ht="12" customHeight="1">
      <c r="A127" s="362" t="s">
        <v>61</v>
      </c>
      <c r="B127" s="210" t="s">
        <v>413</v>
      </c>
      <c r="C127" s="224"/>
      <c r="D127" s="224"/>
      <c r="E127" s="224"/>
      <c r="F127" s="224"/>
      <c r="G127" s="224"/>
      <c r="H127" s="224"/>
    </row>
    <row r="128" spans="1:8" s="196" customFormat="1" ht="12" customHeight="1" thickBot="1">
      <c r="A128" s="371" t="s">
        <v>119</v>
      </c>
      <c r="B128" s="208" t="s">
        <v>414</v>
      </c>
      <c r="C128" s="224"/>
      <c r="D128" s="224"/>
      <c r="E128" s="224"/>
      <c r="F128" s="224"/>
      <c r="G128" s="224"/>
      <c r="H128" s="224"/>
    </row>
    <row r="129" spans="1:11" ht="13.5" thickBot="1">
      <c r="A129" s="217" t="s">
        <v>11</v>
      </c>
      <c r="B129" s="218" t="s">
        <v>670</v>
      </c>
      <c r="C129" s="348">
        <f aca="true" t="shared" si="12" ref="C129:H129">+C130+C131+C132+C134+C133</f>
        <v>864008439</v>
      </c>
      <c r="D129" s="348">
        <f t="shared" si="12"/>
        <v>916543796</v>
      </c>
      <c r="E129" s="348">
        <f t="shared" si="12"/>
        <v>845525402</v>
      </c>
      <c r="F129" s="348">
        <f t="shared" si="12"/>
        <v>821399578</v>
      </c>
      <c r="G129" s="348">
        <f t="shared" si="12"/>
        <v>24125824</v>
      </c>
      <c r="H129" s="348">
        <f t="shared" si="12"/>
        <v>0</v>
      </c>
      <c r="K129" s="331"/>
    </row>
    <row r="130" spans="1:8" ht="12.75">
      <c r="A130" s="362" t="s">
        <v>62</v>
      </c>
      <c r="B130" s="210" t="s">
        <v>415</v>
      </c>
      <c r="C130" s="224"/>
      <c r="D130" s="224"/>
      <c r="E130" s="224"/>
      <c r="F130" s="224"/>
      <c r="G130" s="224"/>
      <c r="H130" s="224"/>
    </row>
    <row r="131" spans="1:8" ht="12" customHeight="1">
      <c r="A131" s="362" t="s">
        <v>63</v>
      </c>
      <c r="B131" s="210" t="s">
        <v>416</v>
      </c>
      <c r="C131" s="224">
        <v>25331220</v>
      </c>
      <c r="D131" s="224">
        <v>25331220</v>
      </c>
      <c r="E131" s="224">
        <v>25331220</v>
      </c>
      <c r="F131" s="224">
        <v>25331220</v>
      </c>
      <c r="G131" s="224"/>
      <c r="H131" s="224"/>
    </row>
    <row r="132" spans="1:8" s="196" customFormat="1" ht="12" customHeight="1">
      <c r="A132" s="362" t="s">
        <v>307</v>
      </c>
      <c r="B132" s="210" t="s">
        <v>614</v>
      </c>
      <c r="C132" s="224">
        <v>838677219</v>
      </c>
      <c r="D132" s="224">
        <v>891212576</v>
      </c>
      <c r="E132" s="224">
        <v>820194182</v>
      </c>
      <c r="F132" s="224">
        <f>E132-G132</f>
        <v>796068358</v>
      </c>
      <c r="G132" s="224">
        <f>' 7..sz. mell Hivatal'!G39+'8. sz. mell. Családsegítő'!G39+'9. sz. mell VGSZ'!G39+'10.sz. mell. Könyvtár'!G39+'11.sz. mell. Óvoda'!G39</f>
        <v>24125824</v>
      </c>
      <c r="H132" s="224"/>
    </row>
    <row r="133" spans="1:8" s="196" customFormat="1" ht="12" customHeight="1">
      <c r="A133" s="362" t="s">
        <v>309</v>
      </c>
      <c r="B133" s="210" t="s">
        <v>417</v>
      </c>
      <c r="C133" s="224"/>
      <c r="D133" s="224"/>
      <c r="E133" s="224"/>
      <c r="F133" s="224"/>
      <c r="G133" s="224"/>
      <c r="H133" s="224"/>
    </row>
    <row r="134" spans="1:8" s="196" customFormat="1" ht="12" customHeight="1" thickBot="1">
      <c r="A134" s="371" t="s">
        <v>311</v>
      </c>
      <c r="B134" s="208" t="s">
        <v>418</v>
      </c>
      <c r="C134" s="224"/>
      <c r="D134" s="224"/>
      <c r="E134" s="224"/>
      <c r="F134" s="224"/>
      <c r="G134" s="224"/>
      <c r="H134" s="224"/>
    </row>
    <row r="135" spans="1:8" s="196" customFormat="1" ht="12" customHeight="1" thickBot="1">
      <c r="A135" s="217" t="s">
        <v>12</v>
      </c>
      <c r="B135" s="218" t="s">
        <v>671</v>
      </c>
      <c r="C135" s="350">
        <f aca="true" t="shared" si="13" ref="C135:H135">+C136+C137+C138+C139</f>
        <v>0</v>
      </c>
      <c r="D135" s="350">
        <f t="shared" si="13"/>
        <v>0</v>
      </c>
      <c r="E135" s="350">
        <f t="shared" si="13"/>
        <v>0</v>
      </c>
      <c r="F135" s="350">
        <f t="shared" si="13"/>
        <v>0</v>
      </c>
      <c r="G135" s="350">
        <f t="shared" si="13"/>
        <v>0</v>
      </c>
      <c r="H135" s="350">
        <f t="shared" si="13"/>
        <v>0</v>
      </c>
    </row>
    <row r="136" spans="1:8" s="196" customFormat="1" ht="12" customHeight="1">
      <c r="A136" s="362" t="s">
        <v>64</v>
      </c>
      <c r="B136" s="210" t="s">
        <v>420</v>
      </c>
      <c r="C136" s="224"/>
      <c r="D136" s="224"/>
      <c r="E136" s="224"/>
      <c r="F136" s="224"/>
      <c r="G136" s="224"/>
      <c r="H136" s="224"/>
    </row>
    <row r="137" spans="1:8" s="196" customFormat="1" ht="12" customHeight="1">
      <c r="A137" s="362" t="s">
        <v>65</v>
      </c>
      <c r="B137" s="210" t="s">
        <v>421</v>
      </c>
      <c r="C137" s="224"/>
      <c r="D137" s="224"/>
      <c r="E137" s="224"/>
      <c r="F137" s="224"/>
      <c r="G137" s="224"/>
      <c r="H137" s="224"/>
    </row>
    <row r="138" spans="1:8" s="196" customFormat="1" ht="12" customHeight="1">
      <c r="A138" s="362" t="s">
        <v>316</v>
      </c>
      <c r="B138" s="210" t="s">
        <v>422</v>
      </c>
      <c r="C138" s="224"/>
      <c r="D138" s="224"/>
      <c r="E138" s="224"/>
      <c r="F138" s="224"/>
      <c r="G138" s="224"/>
      <c r="H138" s="224"/>
    </row>
    <row r="139" spans="1:8" ht="12.75" customHeight="1" thickBot="1">
      <c r="A139" s="362" t="s">
        <v>318</v>
      </c>
      <c r="B139" s="210" t="s">
        <v>423</v>
      </c>
      <c r="C139" s="224"/>
      <c r="D139" s="224"/>
      <c r="E139" s="224"/>
      <c r="F139" s="224"/>
      <c r="G139" s="224"/>
      <c r="H139" s="224"/>
    </row>
    <row r="140" spans="1:8" ht="12" customHeight="1" thickBot="1">
      <c r="A140" s="217" t="s">
        <v>13</v>
      </c>
      <c r="B140" s="218" t="s">
        <v>672</v>
      </c>
      <c r="C140" s="361">
        <f aca="true" t="shared" si="14" ref="C140:H140">+C120+C124+C129+C135</f>
        <v>864008439</v>
      </c>
      <c r="D140" s="361">
        <f t="shared" si="14"/>
        <v>916543796</v>
      </c>
      <c r="E140" s="361">
        <f t="shared" si="14"/>
        <v>845525402</v>
      </c>
      <c r="F140" s="361">
        <f t="shared" si="14"/>
        <v>821399578</v>
      </c>
      <c r="G140" s="361">
        <f t="shared" si="14"/>
        <v>24125824</v>
      </c>
      <c r="H140" s="361">
        <f t="shared" si="14"/>
        <v>0</v>
      </c>
    </row>
    <row r="141" spans="1:8" ht="15" customHeight="1" thickBot="1">
      <c r="A141" s="372" t="s">
        <v>14</v>
      </c>
      <c r="B141" s="234" t="s">
        <v>673</v>
      </c>
      <c r="C141" s="361">
        <f aca="true" t="shared" si="15" ref="C141:H141">+C119+C140</f>
        <v>2133775111</v>
      </c>
      <c r="D141" s="361">
        <f t="shared" si="15"/>
        <v>2760528264</v>
      </c>
      <c r="E141" s="361">
        <f t="shared" si="15"/>
        <v>1562728915</v>
      </c>
      <c r="F141" s="361">
        <f t="shared" si="15"/>
        <v>1505117349</v>
      </c>
      <c r="G141" s="361">
        <f t="shared" si="15"/>
        <v>57611566</v>
      </c>
      <c r="H141" s="361">
        <f t="shared" si="15"/>
        <v>0</v>
      </c>
    </row>
    <row r="142" spans="1:8" ht="13.5" thickBot="1">
      <c r="A142" s="41"/>
      <c r="B142" s="42"/>
      <c r="C142" s="43"/>
      <c r="D142" s="43"/>
      <c r="E142" s="43"/>
      <c r="F142" s="43"/>
      <c r="G142" s="43"/>
      <c r="H142" s="43"/>
    </row>
    <row r="143" spans="1:8" ht="15" customHeight="1" thickBot="1">
      <c r="A143" s="342" t="s">
        <v>616</v>
      </c>
      <c r="B143" s="343"/>
      <c r="C143" s="106"/>
      <c r="D143" s="107"/>
      <c r="E143" s="104"/>
      <c r="F143" s="104"/>
      <c r="G143" s="104"/>
      <c r="H143" s="104"/>
    </row>
    <row r="144" spans="1:8" ht="14.25" customHeight="1" thickBot="1">
      <c r="A144" s="342" t="s">
        <v>143</v>
      </c>
      <c r="B144" s="343"/>
      <c r="C144" s="106"/>
      <c r="D144" s="107"/>
      <c r="E144" s="104"/>
      <c r="F144" s="104"/>
      <c r="G144" s="104"/>
      <c r="H144" s="104"/>
    </row>
  </sheetData>
  <sheetProtection formatCells="0"/>
  <mergeCells count="5">
    <mergeCell ref="A1:H1"/>
    <mergeCell ref="B2:H2"/>
    <mergeCell ref="B3:H3"/>
    <mergeCell ref="A7:H7"/>
    <mergeCell ref="A87:H8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50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2018-05-31T06:20:39Z</cp:lastPrinted>
  <dcterms:created xsi:type="dcterms:W3CDTF">1999-10-30T10:30:45Z</dcterms:created>
  <dcterms:modified xsi:type="dcterms:W3CDTF">2018-05-31T06:51:27Z</dcterms:modified>
  <cp:category/>
  <cp:version/>
  <cp:contentType/>
  <cp:contentStatus/>
</cp:coreProperties>
</file>