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2" tabRatio="727" firstSheet="9" activeTab="14"/>
  </bookViews>
  <sheets>
    <sheet name="ÖSSZEFÜGGÉSEK" sheetId="1" r:id="rId1"/>
    <sheet name="1.Pénzügyi mérleg" sheetId="2" r:id="rId2"/>
    <sheet name="2.1.Műküdési kiadások" sheetId="3" r:id="rId3"/>
    <sheet name="2.2.Felhalm.kiadások  " sheetId="4" r:id="rId4"/>
    <sheet name="ELLENŐRZÉS-1.sz.2.1.sz.2.2.sz." sheetId="5" r:id="rId5"/>
    <sheet name="3.Beruházási kiadás" sheetId="6" r:id="rId6"/>
    <sheet name="4. Felújítási kiadás" sheetId="7" r:id="rId7"/>
    <sheet name="5. Eu-s projektek" sheetId="8" r:id="rId8"/>
    <sheet name="6..sz. mell önkormányzat" sheetId="9" r:id="rId9"/>
    <sheet name=" 7..sz. mell Hivatal" sheetId="10" r:id="rId10"/>
    <sheet name="8. sz. mell. Családsegítő" sheetId="11" r:id="rId11"/>
    <sheet name="9. sz. mell VGSZ" sheetId="12" r:id="rId12"/>
    <sheet name="10.sz. mell. Könyvtár" sheetId="13" r:id="rId13"/>
    <sheet name="11.sz. mell. Óvoda" sheetId="14" r:id="rId14"/>
    <sheet name="12.sz. mell. Bölcsöde)" sheetId="15" r:id="rId15"/>
    <sheet name="13. Pénzmaradvány" sheetId="16" r:id="rId16"/>
    <sheet name="14.Pénzeszk. felhasz." sheetId="17" r:id="rId17"/>
    <sheet name="1.táj.Mérleg" sheetId="18" r:id="rId18"/>
    <sheet name="2. táj Többéves kihat" sheetId="19" r:id="rId19"/>
    <sheet name="3. táj Hitelek, kölcs" sheetId="20" r:id="rId20"/>
    <sheet name="4. táj Adósság állomány" sheetId="21" r:id="rId21"/>
    <sheet name="5. táj Közvetített tám." sheetId="22" r:id="rId22"/>
    <sheet name="6. táj Támogatások" sheetId="23" r:id="rId23"/>
    <sheet name="7.1. táj Vagyonkimutatás" sheetId="24" r:id="rId24"/>
    <sheet name="7.2. táj Vagyonkimutatás" sheetId="25" r:id="rId25"/>
    <sheet name="7.3. Vagyonkimutatás" sheetId="26" r:id="rId26"/>
    <sheet name="7.4. táj függő köt" sheetId="27" r:id="rId27"/>
    <sheet name="8. táj Részesedések" sheetId="28" r:id="rId28"/>
    <sheet name="9.táj.Eredménykimutatás " sheetId="29" r:id="rId29"/>
    <sheet name="Munka1" sheetId="30" r:id="rId30"/>
  </sheets>
  <externalReferences>
    <externalReference r:id="rId33"/>
  </externalReferences>
  <definedNames>
    <definedName name="_ftn1" localSheetId="25">'7.3. Vagyonkimutatás'!#REF!</definedName>
    <definedName name="_ftnref1" localSheetId="25">'7.3. Vagyonkimutatás'!$A$19</definedName>
    <definedName name="_xlnm.Print_Titles" localSheetId="9">' 7..sz. mell Hivatal'!$1:$6</definedName>
    <definedName name="_xlnm.Print_Titles" localSheetId="17">'1.táj.Mérleg'!$2:$2</definedName>
    <definedName name="_xlnm.Print_Titles" localSheetId="12">'10.sz. mell. Könyvtár'!$1:$6</definedName>
    <definedName name="_xlnm.Print_Titles" localSheetId="13">'11.sz. mell. Óvoda'!$1:$6</definedName>
    <definedName name="_xlnm.Print_Titles" localSheetId="14">'12.sz. mell. Bölcsöde)'!$1:$6</definedName>
    <definedName name="_xlnm.Print_Titles" localSheetId="8">'6..sz. mell önkormányzat'!$1:$6</definedName>
    <definedName name="_xlnm.Print_Titles" localSheetId="23">'7.1. táj Vagyonkimutatás'!$2:$7</definedName>
    <definedName name="_xlnm.Print_Titles" localSheetId="10">'8. sz. mell. Családsegítő'!$1:$6</definedName>
    <definedName name="_xlnm.Print_Titles" localSheetId="11">'9. sz. mell VGSZ'!$1:$6</definedName>
    <definedName name="_xlnm.Print_Area" localSheetId="1">'1.Pénzügyi mérleg'!$A$1:$H$153</definedName>
    <definedName name="_xlnm.Print_Area" localSheetId="2">'2.1.Műküdési kiadások'!$A$1:$J$32</definedName>
    <definedName name="_xlnm.Print_Area" localSheetId="19">'3. táj Hitelek, kölcs'!$A$1:$G$6</definedName>
    <definedName name="_xlnm.Print_Area" localSheetId="8">'6..sz. mell önkormányzat'!$A$1:$E$145</definedName>
    <definedName name="_xlnm.Print_Area" localSheetId="23">'7.1. táj Vagyonkimutatás'!$A$1:$R$69</definedName>
    <definedName name="_xlnm.Print_Area" localSheetId="24">'7.2. táj Vagyonkimutatás'!$A$1:$J$26</definedName>
    <definedName name="_xlnm.Print_Area" localSheetId="25">'7.3. Vagyonkimutatás'!$A$1:$J$25</definedName>
  </definedNames>
  <calcPr fullCalcOnLoad="1"/>
</workbook>
</file>

<file path=xl/sharedStrings.xml><?xml version="1.0" encoding="utf-8"?>
<sst xmlns="http://schemas.openxmlformats.org/spreadsheetml/2006/main" count="3409" uniqueCount="1052">
  <si>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</si>
  <si>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</si>
  <si>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</si>
  <si>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</si>
  <si>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</si>
  <si>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</si>
  <si>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</si>
  <si>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</si>
  <si>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</si>
  <si>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</si>
  <si>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</si>
  <si>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</si>
  <si>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</si>
  <si>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</si>
  <si>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</si>
  <si>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</si>
  <si>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</si>
  <si>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</si>
  <si>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</si>
  <si>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</si>
  <si>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</si>
  <si>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</si>
  <si>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</si>
  <si>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</si>
  <si>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</si>
  <si>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</si>
  <si>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</si>
  <si>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</si>
  <si>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</si>
  <si>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</si>
  <si>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</si>
  <si>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</si>
  <si>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</si>
  <si>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</si>
  <si>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</si>
  <si>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</si>
  <si>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</si>
  <si>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</si>
  <si>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</si>
  <si>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</si>
  <si>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</si>
  <si>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</si>
  <si>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</si>
  <si>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</si>
  <si>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</si>
  <si>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</si>
  <si>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</si>
  <si>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</si>
  <si>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</si>
  <si>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</si>
  <si>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</si>
  <si>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</si>
  <si>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</si>
  <si>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</si>
  <si>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</si>
  <si>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</si>
  <si>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</si>
  <si>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</si>
  <si>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</si>
  <si>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</si>
  <si>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</si>
  <si>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</si>
  <si>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</si>
  <si>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</si>
  <si>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</si>
  <si>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</si>
  <si>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</si>
  <si>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</si>
  <si>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</si>
  <si>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</si>
  <si>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</si>
  <si>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</si>
  <si>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</si>
  <si>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</si>
  <si>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</si>
  <si>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</si>
  <si>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</si>
  <si>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</si>
  <si>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</si>
  <si>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</si>
  <si>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</si>
  <si>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</si>
  <si>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</si>
  <si>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</si>
  <si>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</si>
  <si>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</si>
  <si>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</si>
  <si>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</si>
  <si>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</si>
  <si>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</si>
  <si>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</si>
  <si>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</si>
  <si>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</si>
  <si>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</si>
  <si>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</si>
  <si>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</si>
  <si>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</si>
  <si>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</si>
  <si>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</si>
  <si>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</si>
  <si>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</si>
  <si>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</si>
  <si>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</si>
  <si>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</si>
  <si>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</si>
  <si>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</si>
  <si>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</si>
  <si>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</si>
  <si>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</si>
  <si>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</si>
  <si>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</si>
  <si>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</si>
  <si>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</si>
  <si>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</si>
  <si>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</si>
  <si>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</si>
  <si>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</si>
  <si>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</si>
  <si>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</si>
  <si>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</si>
  <si>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</si>
  <si>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</si>
  <si>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</si>
  <si>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</si>
  <si>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</si>
  <si>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</si>
  <si>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</si>
  <si>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</si>
  <si>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</si>
  <si>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</si>
  <si>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</si>
  <si>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</si>
  <si>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</si>
  <si>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</si>
  <si>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</si>
  <si>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</si>
  <si>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</si>
  <si>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</si>
  <si>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</si>
  <si>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</si>
  <si>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</si>
  <si>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</si>
  <si>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</si>
  <si>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</si>
  <si>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</si>
  <si>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</si>
  <si>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</si>
  <si>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</si>
  <si>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</si>
  <si>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</si>
  <si>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</si>
  <si>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</si>
  <si>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</si>
  <si>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</si>
  <si>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</si>
  <si>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</si>
  <si>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</si>
  <si>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</si>
  <si>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</si>
  <si>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</si>
  <si>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</si>
  <si>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</si>
  <si>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</si>
  <si>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</si>
  <si>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</si>
  <si>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</si>
  <si>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</si>
  <si>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</si>
  <si>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</si>
  <si>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</si>
  <si>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</si>
  <si>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</si>
  <si>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</si>
  <si>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</si>
  <si>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</si>
  <si>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</si>
  <si>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</si>
  <si>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</si>
  <si>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</si>
  <si>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</si>
  <si>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</si>
  <si>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</si>
  <si>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</si>
  <si>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</si>
  <si>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</si>
  <si>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</si>
  <si>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</si>
  <si>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</si>
  <si>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</si>
  <si>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</si>
  <si>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</si>
  <si>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</si>
  <si>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</si>
  <si>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</si>
  <si>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</si>
  <si>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</si>
  <si>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</si>
  <si>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</si>
  <si>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</si>
  <si>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</si>
  <si>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</si>
  <si>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</si>
  <si>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</si>
  <si>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</si>
  <si>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</si>
  <si>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</si>
  <si>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</si>
  <si>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</si>
  <si>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</si>
  <si>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</si>
  <si>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</si>
  <si>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32.</t>
  </si>
  <si>
    <t>33.</t>
  </si>
  <si>
    <t>ESZKÖZÖK</t>
  </si>
  <si>
    <t>Sorszám</t>
  </si>
  <si>
    <t>Bruttó</t>
  </si>
  <si>
    <t xml:space="preserve">Könyv szerinti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</si>
  <si>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</si>
  <si>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</si>
  <si>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</si>
  <si>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</si>
  <si>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</si>
  <si>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</si>
  <si>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</si>
  <si>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</si>
  <si>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</si>
  <si>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</si>
  <si>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</si>
  <si>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</si>
  <si>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</si>
  <si>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</si>
  <si>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</si>
  <si>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</si>
  <si>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</si>
  <si>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</si>
  <si>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</si>
  <si>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</si>
  <si>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</si>
  <si>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</si>
  <si>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</si>
  <si>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</si>
  <si>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</si>
  <si>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</si>
  <si>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</si>
  <si>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</si>
  <si>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</si>
  <si>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</si>
  <si>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</si>
  <si>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</si>
  <si>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</si>
  <si>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</si>
  <si>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</si>
  <si>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</si>
  <si>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</si>
  <si>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</si>
  <si>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</si>
  <si>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</si>
  <si>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</si>
  <si>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</si>
  <si>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Gazdálkodó szervezet megnevezése</t>
  </si>
  <si>
    <t>Részesedés összege (Ft-ban)</t>
  </si>
  <si>
    <t xml:space="preserve">       ÖSSZESEN: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</si>
  <si>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</si>
  <si>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</si>
  <si>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</si>
  <si>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</si>
  <si>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</si>
  <si>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</si>
  <si>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</si>
  <si>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</si>
  <si>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</si>
  <si>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</si>
  <si>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</si>
  <si>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</si>
  <si>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</si>
  <si>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</si>
  <si>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</si>
  <si>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</si>
  <si>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</si>
  <si>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</si>
  <si>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</si>
  <si>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</si>
  <si>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</si>
  <si>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</si>
  <si>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</si>
  <si>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</si>
  <si>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4.2.</t>
  </si>
  <si>
    <t>4.3.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</si>
  <si>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</si>
  <si>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</si>
  <si>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</si>
  <si>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</si>
  <si>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</si>
  <si>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</si>
  <si>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</si>
  <si>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</si>
  <si>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</si>
  <si>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</si>
  <si>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</si>
  <si>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</si>
  <si>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</si>
  <si>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</si>
  <si>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</si>
  <si>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</si>
  <si>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</si>
  <si>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</si>
  <si>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</si>
  <si>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</si>
  <si>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</si>
  <si>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</si>
  <si>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</si>
  <si>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</si>
  <si>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</si>
  <si>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</si>
  <si>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</si>
  <si>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</si>
  <si>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</si>
  <si>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</si>
  <si>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</si>
  <si>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</si>
  <si>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</si>
  <si>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</si>
  <si>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</si>
  <si>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</si>
  <si>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</si>
  <si>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</si>
  <si>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</si>
  <si>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</si>
  <si>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</si>
  <si>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</si>
  <si>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</si>
  <si>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</si>
  <si>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</si>
  <si>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</si>
  <si>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</si>
  <si>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</si>
  <si>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</si>
  <si>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</si>
  <si>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</si>
  <si>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</si>
  <si>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</si>
  <si>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</si>
  <si>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</si>
  <si>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</si>
  <si>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</si>
  <si>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</si>
  <si>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</si>
  <si>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</si>
  <si>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</si>
  <si>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</si>
  <si>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</si>
  <si>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</si>
  <si>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</si>
  <si>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</si>
  <si>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</si>
  <si>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</si>
  <si>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</si>
  <si>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</si>
  <si>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</si>
  <si>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</si>
  <si>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</si>
  <si>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</si>
  <si>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</si>
  <si>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</si>
  <si>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</si>
  <si>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</si>
  <si>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</si>
  <si>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</si>
  <si>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</si>
  <si>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</si>
  <si>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</si>
  <si>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</si>
  <si>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</si>
  <si>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</si>
  <si>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</si>
  <si>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</si>
  <si>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</si>
  <si>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</si>
  <si>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</si>
  <si>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</si>
  <si>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</si>
  <si>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</si>
  <si>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</si>
  <si>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</si>
  <si>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</si>
  <si>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</si>
  <si>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</si>
  <si>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</si>
  <si>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</si>
  <si>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</si>
  <si>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</si>
  <si>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</si>
  <si>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</si>
  <si>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</si>
  <si>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</si>
  <si>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</si>
  <si>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</si>
  <si>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</si>
  <si>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</si>
  <si>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</si>
  <si>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</si>
  <si>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</si>
  <si>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</si>
  <si>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</si>
  <si>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</si>
  <si>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</si>
  <si>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</si>
  <si>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</si>
  <si>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</si>
  <si>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</si>
  <si>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</si>
  <si>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</si>
  <si>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</si>
  <si>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</si>
  <si>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</si>
  <si>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</si>
  <si>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</si>
  <si>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</si>
  <si>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</si>
  <si>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</si>
  <si>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</si>
  <si>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</si>
  <si>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</si>
  <si>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</si>
  <si>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</si>
  <si>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</si>
  <si>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</si>
  <si>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</si>
  <si>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</si>
  <si>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</si>
  <si>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</si>
  <si>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</si>
  <si>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</si>
  <si>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</si>
  <si>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</si>
  <si>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</si>
  <si>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</si>
  <si>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</si>
  <si>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</si>
  <si>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</si>
  <si>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</si>
  <si>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</si>
  <si>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</si>
  <si>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</si>
  <si>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</si>
  <si>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</si>
  <si>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</si>
  <si>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</si>
  <si>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</si>
  <si>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</si>
  <si>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</si>
  <si>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</si>
  <si>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</si>
  <si>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</si>
  <si>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</si>
  <si>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</si>
  <si>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</si>
  <si>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</si>
  <si>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</si>
  <si>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</si>
  <si>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</si>
  <si>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</si>
  <si>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</si>
  <si>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</si>
  <si>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</si>
  <si>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</si>
  <si>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</si>
  <si>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</si>
  <si>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</si>
  <si>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</si>
  <si>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</si>
  <si>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</si>
  <si>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</si>
  <si>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</si>
  <si>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</si>
  <si>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</si>
  <si>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</si>
  <si>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</si>
  <si>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</si>
  <si>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</si>
  <si>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</si>
  <si>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</si>
  <si>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</si>
  <si>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</si>
  <si>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</si>
  <si>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</si>
  <si>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</si>
  <si>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</si>
  <si>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</si>
  <si>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</si>
  <si>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</si>
  <si>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</si>
  <si>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</si>
  <si>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</si>
  <si>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</si>
  <si>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</si>
  <si>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</si>
  <si>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</si>
  <si>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</si>
  <si>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</si>
  <si>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</si>
  <si>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</si>
  <si>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</si>
  <si>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</si>
  <si>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</si>
  <si>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</si>
  <si>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</si>
  <si>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</si>
  <si>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</si>
  <si>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</si>
  <si>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</si>
  <si>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</si>
  <si>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</si>
  <si>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</si>
  <si>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</si>
  <si>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</si>
  <si>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</si>
  <si>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</si>
  <si>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</si>
  <si>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</si>
  <si>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</si>
  <si>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</si>
  <si>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</si>
  <si>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</si>
  <si>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</si>
  <si>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</si>
  <si>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</si>
  <si>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</si>
  <si>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</si>
  <si>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</si>
  <si>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</si>
  <si>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</si>
  <si>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</si>
  <si>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</si>
  <si>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</si>
  <si>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</si>
  <si>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</si>
  <si>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</si>
  <si>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</si>
  <si>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</si>
  <si>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</si>
  <si>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</si>
  <si>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</si>
  <si>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</si>
  <si>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</si>
  <si>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</si>
  <si>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</si>
  <si>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</si>
  <si>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</si>
  <si>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</si>
  <si>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</si>
  <si>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</si>
  <si>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</si>
  <si>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</si>
  <si>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</si>
  <si>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</si>
  <si>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</si>
  <si>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</si>
  <si>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</si>
  <si>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</si>
  <si>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</si>
  <si>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</si>
  <si>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</si>
  <si>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</si>
  <si>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</si>
  <si>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</si>
  <si>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</si>
  <si>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</si>
  <si>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</si>
  <si>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</si>
  <si>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</si>
  <si>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</si>
  <si>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</si>
  <si>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</si>
  <si>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</si>
  <si>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</si>
  <si>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</si>
  <si>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</si>
  <si>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</si>
  <si>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</si>
  <si>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</si>
  <si>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</si>
  <si>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</si>
  <si>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</si>
  <si>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</si>
  <si>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</si>
  <si>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</si>
  <si>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</si>
  <si>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</si>
  <si>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</si>
  <si>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</si>
  <si>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</si>
  <si>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</si>
  <si>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</si>
  <si>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</si>
  <si>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</si>
  <si>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</si>
  <si>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</si>
  <si>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</si>
  <si>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</si>
  <si>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</si>
  <si>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</si>
  <si>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</si>
  <si>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</si>
  <si>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</si>
  <si>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</si>
  <si>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</si>
  <si>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</si>
  <si>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</si>
  <si>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</si>
  <si>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</si>
  <si>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</si>
  <si>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</si>
  <si>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</si>
  <si>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</si>
  <si>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</si>
  <si>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</si>
  <si>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</si>
  <si>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</si>
  <si>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</si>
  <si>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</si>
  <si>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</si>
  <si>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J=(F+…+I)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</si>
  <si>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</si>
  <si>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</si>
  <si>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</si>
  <si>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</si>
  <si>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</si>
  <si>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</si>
  <si>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</si>
  <si>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</si>
  <si>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</si>
  <si>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</si>
  <si>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</si>
  <si>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</si>
  <si>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</si>
  <si>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</si>
  <si>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</si>
  <si>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</si>
  <si>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</si>
  <si>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</si>
  <si>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</si>
  <si>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</si>
  <si>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I. Költségvetési évben esedékes kötelezettségek</t>
  </si>
  <si>
    <t>13.4.</t>
  </si>
  <si>
    <t>Központi, irányítószervi támogatás</t>
  </si>
  <si>
    <t>1.16.</t>
  </si>
  <si>
    <t xml:space="preserve"> - Garancia- és kezességvállalásból kifizetés ÁH-n belülre</t>
  </si>
  <si>
    <t xml:space="preserve"> - Visszatérítendő támogatások, kölcsönök törlesztése ÁH-n belülre</t>
  </si>
  <si>
    <t xml:space="preserve"> - Garancia és kezességvállalásból kifizetés ÁH-n kívülre</t>
  </si>
  <si>
    <t xml:space="preserve"> - Visszatérítendő támogatások, kölcsönök nyújtása ÁH-n kívülre</t>
  </si>
  <si>
    <t xml:space="preserve"> - Árkiegészítések, ártámogatások</t>
  </si>
  <si>
    <t xml:space="preserve"> - Kamattámogatások</t>
  </si>
  <si>
    <t xml:space="preserve"> - Egyéb működési célú támogatások államháztartáson kívülre</t>
  </si>
  <si>
    <t xml:space="preserve"> - Tartalékok</t>
  </si>
  <si>
    <t xml:space="preserve"> - Visszatérítendő támogatások, kölcsönök nyújtása ÁH-n belülre</t>
  </si>
  <si>
    <t xml:space="preserve"> - ebből: tartalékok</t>
  </si>
  <si>
    <t>Belföldi finanszírozások kiadásai</t>
  </si>
  <si>
    <t xml:space="preserve">   - Tartalékok (3.1.+3.2.)</t>
  </si>
  <si>
    <t>Dologi kiadások</t>
  </si>
  <si>
    <t>Hitel-, kölcsöntörlesztés államháztartáson kívülre (4.1.+…+4.3.)</t>
  </si>
  <si>
    <t>Belföldi értékpapírok kiadásai (5.1. + … + 5.4.)</t>
  </si>
  <si>
    <t>Belföldi finanszírozás kiadásai 6.1. + … + 6.5.)</t>
  </si>
  <si>
    <t>Külföldi finanszírozás kiadásai (7.1. + … + 7.4.)</t>
  </si>
  <si>
    <t>FINANSZÍROZÁSI KIADÁSOK ÖSSZESEN: (4.+…+7.)</t>
  </si>
  <si>
    <t>KIADÁSOK ÖSSZESEN: (3+8)</t>
  </si>
  <si>
    <t>Nagykátai Polgármesteri Hivatal</t>
  </si>
  <si>
    <t xml:space="preserve">Nagykátai Család- és Gyermekjóléti Központ </t>
  </si>
  <si>
    <t xml:space="preserve">Nagykáta Város Önkormányzata Városgazdálkodási Szervezete </t>
  </si>
  <si>
    <t>Nagykáta Város Önkormányzata Városgazdálkodási Szervezete</t>
  </si>
  <si>
    <t xml:space="preserve"> forintban !</t>
  </si>
  <si>
    <t>Vagyoni típusú adók</t>
  </si>
  <si>
    <t>Termékek és szolgáltatások adói</t>
  </si>
  <si>
    <t>FT</t>
  </si>
  <si>
    <t>Ft</t>
  </si>
  <si>
    <t>Központi irányítószervi támogatás kiadása</t>
  </si>
  <si>
    <t>Államháztartáson belüli megelőlegezés visszafizetése</t>
  </si>
  <si>
    <t>Nagykáta Város Önkormányzata</t>
  </si>
  <si>
    <t>forintban !</t>
  </si>
  <si>
    <t xml:space="preserve">Nagykátai Polgármesteri Hivatal </t>
  </si>
  <si>
    <t>Nagykátai Család-és Gyermekjóléti Központ</t>
  </si>
  <si>
    <t>Nagykátai Gyógyfürdő és Egyéb Szolgáltató Nonprofit Kft. fürdőberuházás hitel kezességv.</t>
  </si>
  <si>
    <t>Tápiómenti Települések Csatornamű Vízg. Társulata hitel kezességváll.</t>
  </si>
  <si>
    <t>Adatok:forintban!</t>
  </si>
  <si>
    <t xml:space="preserve"> </t>
  </si>
  <si>
    <t>Kötelezettség megnevezése</t>
  </si>
  <si>
    <t>Azonosító adatok</t>
  </si>
  <si>
    <t>Futamidő/ kezesség érvény. Ideje</t>
  </si>
  <si>
    <t xml:space="preserve">Tárgyévi kötel. vállalás </t>
  </si>
  <si>
    <t>Adósságot keletkeztető ügyletből származó t.évet követő évek kötelezettségei</t>
  </si>
  <si>
    <t xml:space="preserve">Összes lehívott hitel </t>
  </si>
  <si>
    <t>Megjegyzés</t>
  </si>
  <si>
    <t>További köt. f.idő végéig</t>
  </si>
  <si>
    <t>-</t>
  </si>
  <si>
    <t>HITEL ÖSSZESEN</t>
  </si>
  <si>
    <t>1-1-10-4200-0535-8</t>
  </si>
  <si>
    <t>Függő kötelezettség</t>
  </si>
  <si>
    <t>SFI-ÖEP-09-0299/2/3/4</t>
  </si>
  <si>
    <t>KEZESSÉGVÁLLALÁS ÖSSZESEN</t>
  </si>
  <si>
    <t>ÖSSZES KÖTELEZETTSÉGVÁLLALÁS</t>
  </si>
  <si>
    <t>Ft-ban</t>
  </si>
  <si>
    <t>Előző időszak</t>
  </si>
  <si>
    <t>Tárgyi időszak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</si>
  <si>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</si>
  <si>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</si>
  <si>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</si>
  <si>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</si>
  <si>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</si>
  <si>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</si>
  <si>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</si>
  <si>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</si>
  <si>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</si>
  <si>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</si>
  <si>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</si>
  <si>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</si>
  <si>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</si>
  <si>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</si>
  <si>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</si>
  <si>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</si>
  <si>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</si>
  <si>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</si>
  <si>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</si>
  <si>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</si>
  <si>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</si>
  <si>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</si>
  <si>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</si>
  <si>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</si>
  <si>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21 Pénzügyi műveletek egyéb eredményszemléletű bevételei (&gt;=21a+21b)</t>
  </si>
  <si>
    <t>VIII Pénzügyi műveletek eredményszemléletű bevételei (=17+18+19+20+21)</t>
  </si>
  <si>
    <t>24 Fizetendő kamatok és kamatjellegű ráfordítások</t>
  </si>
  <si>
    <t>25 Részesedések, értékpapírok, pénzeszközök értékvesztése (&gt;=25a+25b)</t>
  </si>
  <si>
    <t>26 Pénzügyi műveletek egyéb ráfordításai (&gt;=26a+26b)</t>
  </si>
  <si>
    <t>IX Pénzügyi műveletek ráfordításai (=22+23+24+25+26)</t>
  </si>
  <si>
    <t>B)  PÉNZÜGYI MŰVELETEK EREDMÉNYE (=VIII-IX)</t>
  </si>
  <si>
    <t>C)  MÉRLEG SZERINTI EREDMÉNY (=±A±B)</t>
  </si>
  <si>
    <t>A/I/1 Vagyoni értékű jogok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</si>
  <si>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</si>
  <si>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</si>
  <si>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</si>
  <si>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</si>
  <si>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</si>
  <si>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</si>
  <si>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</si>
  <si>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</si>
  <si>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</si>
  <si>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A) NEMZETI VAGYONBA TARTOZÓ BEFEKTETETT ESZKÖZÖK (=A/I+A/II+A/III+A/IV)</t>
  </si>
  <si>
    <t>B/I/1 Vásárolt készletek</t>
  </si>
  <si>
    <t>B/I/4  Befejezetlen termelés, félkész termékek, késztermékek</t>
  </si>
  <si>
    <t>B/I Készletek (=B/I/1+…+B/I/5)</t>
  </si>
  <si>
    <t>B) NEMZETI VAGYONBA TARTOZÓ FORGÓESZKÖZÖK (= B/I+B/II)</t>
  </si>
  <si>
    <t>C/II/1 Forintpénztár</t>
  </si>
  <si>
    <t>C/II/2 Valutapénztár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</si>
  <si>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</si>
  <si>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</si>
  <si>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</si>
  <si>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</si>
  <si>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</si>
  <si>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</si>
  <si>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</si>
  <si>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</si>
  <si>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</si>
  <si>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</si>
  <si>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</si>
  <si>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</si>
  <si>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</si>
  <si>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</si>
  <si>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D/I/5b - ebből: költségvetési évben esedékes követelések ingatlanok értékesítésére</t>
  </si>
  <si>
    <t>D/I/6 Költségvetési évben esedékes követelések működési célú átvett pénzeszközre (&gt;=D/I/6a+D/I/6b+D/I/6c)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</si>
  <si>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</si>
  <si>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</si>
  <si>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D/I/7c - ebből: költségvetési évben esedékes követelések felhalmozási célú visszatérítendő támogatások, kölcsönök visszatérülésére államháztartáson kívülről</t>
  </si>
  <si>
    <t>D/I Költségvetési évben esedékes követelések (=D/I/1+…+D/I/8)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</si>
  <si>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</si>
  <si>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</si>
  <si>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D/II/4d - ebből: költségvetési évet követően esedékes követelések kiszámlázott általános forgalmi adóra</t>
  </si>
  <si>
    <t>D/II Költségvetési évet követően esedékes követelések (=D/II/1+…+D/II/8)</t>
  </si>
  <si>
    <t>D/III/1 Adott előlegek (=D/III/1a+…+D/III/1f)</t>
  </si>
  <si>
    <t>D/III/1b - ebből: beruházásokra, felújításokra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</si>
  <si>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</si>
  <si>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</si>
  <si>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</si>
  <si>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</si>
  <si>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D/III/5 Vagyonkezelésbe adott eszközökkel kapcsolatos visszapótlási követelés elszámolása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</si>
  <si>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</si>
  <si>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</si>
  <si>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</si>
  <si>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</si>
  <si>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</si>
  <si>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</si>
  <si>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E/III Egyéb sajátos eszközoldali elszámolások (=E/III/1+E/III/2)</t>
  </si>
  <si>
    <t>E) EGYÉB SAJÁTOS ELSZÁMOLÁSOK (=E/I+E/II+E/III)</t>
  </si>
  <si>
    <t>F/1  Eredményszemléletű bevételek aktív időbeli elhatárolása</t>
  </si>
  <si>
    <t>F/2 Költségek, ráfordítások aktív időbeli elhatárolása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</si>
  <si>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</si>
  <si>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</si>
  <si>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</si>
  <si>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</si>
  <si>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</si>
  <si>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</si>
  <si>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</si>
  <si>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</si>
  <si>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H/I/5 Költségvetési évben esedékes kötelezettségek egyéb működési célú kiadásokra (&gt;=H/I/5a+H/I/5b)</t>
  </si>
  <si>
    <t>H/I/8 Költségvetési évben esedékes kötelezettségek egyéb felhalmozási célú kiadásokra (&gt;=H/I/8a+H/I/8b)</t>
  </si>
  <si>
    <t>H/I Költségvetési évben esedékes kötelezettségek (=H/I/1+…+H/I/9)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</si>
  <si>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</si>
  <si>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</si>
  <si>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</si>
  <si>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</si>
  <si>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</si>
  <si>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</si>
  <si>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</si>
  <si>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H/III/2 Továbbadási célból folyósított támogatások, ellátások elszámolása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</si>
  <si>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</si>
  <si>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</si>
  <si>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</si>
  <si>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</si>
  <si>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</si>
  <si>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</si>
  <si>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</si>
  <si>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Nagykátai Család- és Gyermekjóléti Központ</t>
  </si>
  <si>
    <t>Városi Napközi Otthonos Óvoda</t>
  </si>
  <si>
    <t xml:space="preserve"> Városi Könyvtár és Művelődési Központ</t>
  </si>
  <si>
    <t>Összesítő</t>
  </si>
  <si>
    <t>Városi Könyvtár és Művelődési Központ</t>
  </si>
  <si>
    <t xml:space="preserve">Városi Könyvtár és Művelődési Központ </t>
  </si>
  <si>
    <t xml:space="preserve"> Városi Napközi Otthonos Óvoda</t>
  </si>
  <si>
    <t>forintban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</si>
  <si>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</si>
  <si>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</si>
  <si>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Rovat megnevezése</t>
  </si>
  <si>
    <t>Rovat száma</t>
  </si>
  <si>
    <t xml:space="preserve">Felhalmozási célú garancia- és kezességvállalásból származó kifizetés államháztartáson kívülre  </t>
  </si>
  <si>
    <t>K85</t>
  </si>
  <si>
    <t>Nagykátai Gyógyfürdő és Egyéb Szolgáltó Nonprofit Kft. Tőke és kamatfizetés támogatása</t>
  </si>
  <si>
    <t>Mindösszesen</t>
  </si>
  <si>
    <t xml:space="preserve"> forintban!</t>
  </si>
  <si>
    <t>Közvetett tám. megnevezése</t>
  </si>
  <si>
    <t>Kedvezményezett</t>
  </si>
  <si>
    <t>Kedvezm. időszak mértéke</t>
  </si>
  <si>
    <t>1. Eltartottak tér.díjának méltányossági    alapon történő elengedése</t>
  </si>
  <si>
    <t>2. Lakosság részére lakásépítéséhez nyújtott kölcsönök elengedésének összege</t>
  </si>
  <si>
    <t>3. Helyi adóknál biztosított kedv.  Iparűzési adó</t>
  </si>
  <si>
    <t>4. Helyi adóknál biztosított kedv.  Magánsz. Komm. Adó testületi rendelet alapján biztosított mentesség</t>
  </si>
  <si>
    <t>5. Helyi adók Magánsz. Komm. Adó méltányossági elj. alapján biztosított kedvezmény</t>
  </si>
  <si>
    <t>6. Gépjárműadó kedvezmény</t>
  </si>
  <si>
    <t>7. Gépjárműadó mentesség</t>
  </si>
  <si>
    <t>8. Egyéb közhatalmi bevételek</t>
  </si>
  <si>
    <t>9. Helyiségek hasznosításából származó bev.-ből nyújtott kedv.</t>
  </si>
  <si>
    <t>10. Egyéb nyújtott kedvezmény</t>
  </si>
  <si>
    <t>Tápiómenti Tömegsport Alapítvány</t>
  </si>
  <si>
    <t>Nagykátai Polgárőrség</t>
  </si>
  <si>
    <t>Nagykátai Szakrendelőért Egyesület</t>
  </si>
  <si>
    <t>YAKUZÁK SE</t>
  </si>
  <si>
    <t>Országos Mentőszolgálat Nagykátai Mentőállomás</t>
  </si>
  <si>
    <t>Benji Ruhaipari kft</t>
  </si>
  <si>
    <t>Promotorvin részvények</t>
  </si>
  <si>
    <t>Szolnoki Sűtőipari  Zrt</t>
  </si>
  <si>
    <t>Káta Hidro Kft.</t>
  </si>
  <si>
    <t xml:space="preserve">Első-Tápió Kft. </t>
  </si>
  <si>
    <t>Dél-Pest megyei TISZK Kft.</t>
  </si>
  <si>
    <t>KÖZVILL Rt. Nagykanizsa részvény</t>
  </si>
  <si>
    <t>Nagykátai Gyógyfürdő és Egyéb Szolgáltató Nonprofit Kft.</t>
  </si>
  <si>
    <t xml:space="preserve">Káta-Sport Non-Profit Kft. </t>
  </si>
  <si>
    <t>Tiszamenti Regionális Vízművek Zrt.</t>
  </si>
  <si>
    <t>Nagykátai Mezőgazdasági Kft.</t>
  </si>
  <si>
    <t xml:space="preserve">Nagykátai Család-és Gyermekjóléli Központ </t>
  </si>
  <si>
    <t>Nagykáta Város Önkormányzat Városgazdálkodási Szervezete</t>
  </si>
  <si>
    <t xml:space="preserve">Városi Napközi Otthonos Óvoda </t>
  </si>
  <si>
    <t>Adatok:  forintban!</t>
  </si>
  <si>
    <t>Értéke
(Ft)</t>
  </si>
  <si>
    <t>"Nemleges "</t>
  </si>
  <si>
    <t>Teljesítés Összesen</t>
  </si>
  <si>
    <t>Teljesítés Kötelező</t>
  </si>
  <si>
    <t xml:space="preserve">Teljesítés Önkéntes </t>
  </si>
  <si>
    <t>Teljesítés Államig.</t>
  </si>
  <si>
    <t xml:space="preserve"> forintban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</si>
  <si>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</si>
  <si>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</si>
  <si>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</si>
  <si>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</si>
  <si>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Összeg  (  Ft )</t>
  </si>
  <si>
    <t xml:space="preserve">Korrekció (+/-) </t>
  </si>
  <si>
    <t>2019. évi eredeti előirányzat BEVÉTELEK</t>
  </si>
  <si>
    <t>Biztosító által fízetett kártérítés</t>
  </si>
  <si>
    <t>4.sz. melléklet</t>
  </si>
  <si>
    <t>2.1. melléklet</t>
  </si>
  <si>
    <t>2.2. melléklet</t>
  </si>
  <si>
    <t>5.sz. melléklet</t>
  </si>
  <si>
    <t>6.sz. melléklet</t>
  </si>
  <si>
    <t>7.sz. melléklet</t>
  </si>
  <si>
    <t>8.sz.melléklet</t>
  </si>
  <si>
    <t>9.sz. melléklet</t>
  </si>
  <si>
    <t>10.sz. melléklet</t>
  </si>
  <si>
    <t>11. sz. melléklet</t>
  </si>
  <si>
    <t>2.sz. tájékoztató tábla</t>
  </si>
  <si>
    <t>05 Saját előállítású eszközök aktivált értéke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</si>
  <si>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</si>
  <si>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</si>
  <si>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</si>
  <si>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21a - ebből: lekötött bankbetétek mérlegfordulónapi értékelése során megállapított (nem realizált) árfolyamnyeresége</t>
  </si>
  <si>
    <t>21b - ebből: egyéb pénzeszközök és sajátos elszámolások mérlegfordulónapi értékelése során megállapított (nem realizált) árfolyamnyeresége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</si>
  <si>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</si>
  <si>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</si>
  <si>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25a - ebből: lekötött bankbetétek értékvesztése</t>
  </si>
  <si>
    <t>25b - ebből: Kincstáron kívüli forint- és devizaszámlák értékvesztése</t>
  </si>
  <si>
    <t>26a - ebből: lekötött bankbetétek mérlegfordulónapi értékelése során megállapított (nem realizált) árfolyamvesztesége</t>
  </si>
  <si>
    <t>26b - ebből: egyéb pénzeszközök és sajátos elszámolások  mérlegfordulónapi értékelése során megállapított (nem realizált) árfolyamvesztesége</t>
  </si>
  <si>
    <t>2019. évben könyv szerinti értéke</t>
  </si>
  <si>
    <r>
      <t xml:space="preserve">Összes fennálló kötelezettség </t>
    </r>
    <r>
      <rPr>
        <i/>
        <sz val="10"/>
        <rFont val="Arial"/>
        <family val="2"/>
      </rPr>
      <t>(2018.12.31.-én)</t>
    </r>
  </si>
  <si>
    <t>Nagykátai Városi Bölcsöde</t>
  </si>
  <si>
    <t>A/IV Koncesszióba, vagyonkezelésbe adott eszközök (=A/IV/1+A/IV/2)</t>
  </si>
  <si>
    <t>B/II Értékpapírok (=B/II/1+B/II/2)</t>
  </si>
  <si>
    <t>C/I Lekötött bankbetétek (=C/I/1+…+C/I/2)</t>
  </si>
  <si>
    <t>C/II/3 Betétkönyvek, csekkek, elektronikus pénzeszközök</t>
  </si>
  <si>
    <t>C/III/2 Kincstárban vezetett forintszámlák</t>
  </si>
  <si>
    <t>C/IV/1 Kincstáron kívüli devizaszámlák</t>
  </si>
  <si>
    <t>C/IV/2 Kincstárban vezetett devizaszámlák</t>
  </si>
  <si>
    <t>C/IV Devizaszámlák (=CIV/1+C/IV/2)</t>
  </si>
  <si>
    <t>D/I/4c - ebből: költségvetési évben esedékes követelések ellátási díjakra</t>
  </si>
  <si>
    <t>D/III/4 Forgótőke elszámolása</t>
  </si>
  <si>
    <t>F/3 Halasztott ráfordítások</t>
  </si>
  <si>
    <t>G/III Egyéb eszközök induláskori értéke és változásai</t>
  </si>
  <si>
    <t>G/V Eszközök értékhelyesbítésének forrása</t>
  </si>
  <si>
    <t>H/I/2 Költségvetési évben esedékes kötelezettségek munkaadókat terhelő járulékokra és szociális hozzájárulási adóra</t>
  </si>
  <si>
    <t>H/I/6 Költségvetési évben esedékes kötelezettségek beruházásokra</t>
  </si>
  <si>
    <t>H/II/2 Költségvetési évet követően esedékes kötelezettségek munkaadókat terhelő járulékokra és szociális hozzájárulási adóra</t>
  </si>
  <si>
    <t>J/1 Eredményszemléletű bevételek passzív időbeli elhatárolása</t>
  </si>
  <si>
    <t>PÉNZESZKÖZÖK VÁLTOZÁSÁNAK LEVEZETÉSE 2019.év</t>
  </si>
  <si>
    <t>Összeg</t>
  </si>
  <si>
    <t>NAGYKÁTA VÁROSI BÖLCSŐDE</t>
  </si>
  <si>
    <t>NAGYKÁTAI VÁROSI KÖNYVTÁR ÉS MŰVELŐDÉSI KÖZPONT</t>
  </si>
  <si>
    <t>NAGYKÁTA VÁROS ÖNKORMÁNYZATA</t>
  </si>
  <si>
    <t>NAGYKÁTAI POLGÁRMESTERI HIVATAL</t>
  </si>
  <si>
    <t>NAGYKÁTA VÁROSI NAPKÖZI OTTHONOS ÓVODA</t>
  </si>
  <si>
    <t>NAGYKÁTAI CSALÁD- ÉS GYERMEKJÓLÉTI KÖZPONT</t>
  </si>
  <si>
    <t>NAGYKÁTA VÁROS ÖNKORMÁNYZATA VÁROSGAZDÁLKODÁSI SZERVEZETE</t>
  </si>
  <si>
    <t>EU-s projekt neve, azonosítója: Bölcsöde építése Nagykátán VEKOP-6.1.1.15</t>
  </si>
  <si>
    <t>5.11.</t>
  </si>
  <si>
    <t xml:space="preserve">Biztosító által fizetett kártérítés </t>
  </si>
  <si>
    <t>Biztosító által fizetett kártérítés</t>
  </si>
  <si>
    <t>Támogatás célja</t>
  </si>
  <si>
    <t>Ceglédi Szakképzési Centrum Nagykátai Ipari Szakközépiskolája és Szakiskolája</t>
  </si>
  <si>
    <t>Terembérleti díj</t>
  </si>
  <si>
    <t>Káta Alapítvány</t>
  </si>
  <si>
    <t>rendezvényszervezési feladatok ellátása</t>
  </si>
  <si>
    <t>Pót befizetés</t>
  </si>
  <si>
    <t>Mátray Gábor Alapítvány</t>
  </si>
  <si>
    <t>támogatás Iskolakert kialakítására</t>
  </si>
  <si>
    <t>Meteor Kempo Sport Egyesület</t>
  </si>
  <si>
    <t>Sport támogatás 2019.</t>
  </si>
  <si>
    <t>Nagykáta SE Kézilabda Szakosztály</t>
  </si>
  <si>
    <t>Nagykáta Sportegyesület Kézilabda Szakosztályának 2019.évi működési támogatása</t>
  </si>
  <si>
    <t>Nagykáta Sportegyesület</t>
  </si>
  <si>
    <t>Városi Sporttelep 2019. évi fenntartási, üzemeltetési költségére támogatás</t>
  </si>
  <si>
    <t>Nagykáta SE Sakk szakosztály 2019.évi működési támogatás</t>
  </si>
  <si>
    <t>Nagykáta SE Labdarúgó szakosztályának 2019.évi működési támogatása</t>
  </si>
  <si>
    <t>Szarvas Nóra 2019.08.01-11. között Pozsonyban megrendezett Iabdarúgó kupa</t>
  </si>
  <si>
    <t>Sport Bál</t>
  </si>
  <si>
    <t>2019.évi működési költségekre</t>
  </si>
  <si>
    <t>Szívünk Világnapja rendezvény költségeinek finanszírozására</t>
  </si>
  <si>
    <t>vissza nem téritendő önkorm. támogatás</t>
  </si>
  <si>
    <t>Római Katolikus Egyházközség Nagykáta</t>
  </si>
  <si>
    <t>Farsangi katolikus bál terembérleti díja</t>
  </si>
  <si>
    <t>Tápió-Hajta Vízgazdálkodási Társulat</t>
  </si>
  <si>
    <t xml:space="preserve">M-4-3/2018 sz. megállapodás alapján Nagykáta területén végzett küzmunka </t>
  </si>
  <si>
    <t>2019.04.28-án megrendezendő V. Sportolj Tápió-vidék elnevezésű rendezvény támogatása</t>
  </si>
  <si>
    <t>Június 01-én megrendezett Tápiómenti Maraton költségeire</t>
  </si>
  <si>
    <t>Tápió-Vidék Természeti Értékeiért Közalapítvány</t>
  </si>
  <si>
    <t>2019. évi működési támogatás</t>
  </si>
  <si>
    <t>Mező Lili litvániai felnőtt EB valamit a prágai OPEN EB rész</t>
  </si>
  <si>
    <t xml:space="preserve">Nemzetközi versenyek utazási és szállás költségei, nevezési </t>
  </si>
  <si>
    <t>Mező Lili Tokióban megrendezésre kerülő Világbajnokságon val</t>
  </si>
  <si>
    <t>2018. évi kedv.</t>
  </si>
  <si>
    <t>2019. évi kedv.</t>
  </si>
  <si>
    <t xml:space="preserve">Államháztartási megelőlegezések </t>
  </si>
  <si>
    <t>5db fekvőrendőr, Rezeda utca 2db, Víg utca 3db</t>
  </si>
  <si>
    <t>Damjanich utca 6 sz. Hrsz.:1989 alatti Háziorvosi Rendelő ép</t>
  </si>
  <si>
    <t>Dell Inspiron 7577-I5G484LF laptop és Windows Home (Sportcsa</t>
  </si>
  <si>
    <t>Fénydekoráció - 10db jégcsapfüggöny és 27db fényfüzér</t>
  </si>
  <si>
    <t>kamera, tápegység</t>
  </si>
  <si>
    <t>mobiltelefon sportcsarnok</t>
  </si>
  <si>
    <t>Nagykáta Város Tfk, TRE felülvigyzálata és részleges módosít</t>
  </si>
  <si>
    <t>Nagykáta vízműtelepre új Grundfos gyártmányú NB 65-200/190 B</t>
  </si>
  <si>
    <t>Nagykáta vízműtelepre, VI.számú kútba Grundfos SP 60-7 típus</t>
  </si>
  <si>
    <t>nyomtatópatron és Windows 10 a Roma irodába</t>
  </si>
  <si>
    <t>Orvostechnikai eszközök beszerzése</t>
  </si>
  <si>
    <t>ÖKOKÁTA Könyvtár pályázata 2019 hulladékgyűjtő, komposztáló</t>
  </si>
  <si>
    <t>ÖKOKÁTA Könyvtár pályázata 2019 varrógép</t>
  </si>
  <si>
    <t>Provision 16 csatorna DVR kamera</t>
  </si>
  <si>
    <t>router</t>
  </si>
  <si>
    <t>Sigmoid ZsaruCAR S7 CAMERA rendszámfelismerő alapszoftver</t>
  </si>
  <si>
    <t>Településfejlesztési koncepciója és Településrendezési eszköz</t>
  </si>
  <si>
    <t>Víziközmű bekötési tervdokumentáció elkészítése</t>
  </si>
  <si>
    <t>2db Samsung lézernyomtató és 1 db számítógép (pénzügy)</t>
  </si>
  <si>
    <t>3TN HDD Winchester WD30EZRZ 3TB (Kasza József)</t>
  </si>
  <si>
    <t>Apple iPhone 8</t>
  </si>
  <si>
    <t>Pannon Power Szünetmentes Tápegység Központi géphez</t>
  </si>
  <si>
    <t>TP-Link CPE220 2,4GHz 300Mbps 12 dBi Outdoor CPE Acces point</t>
  </si>
  <si>
    <t>lézernyomtató</t>
  </si>
  <si>
    <t>3 db Samsung Galaxy A10 mobiltelefon (OTP VICA rendszerhez)</t>
  </si>
  <si>
    <t>Porszívó Stihl SF62</t>
  </si>
  <si>
    <t xml:space="preserve"> gépi permetező 200/6li jarmet p128</t>
  </si>
  <si>
    <t>1 db EVOLUENT VerticalMouse 4 Right -wirelesss fekete-barna+</t>
  </si>
  <si>
    <t>2019. évi nyitó tételek 0022</t>
  </si>
  <si>
    <t>3 db asztali számítógép konfiguráció</t>
  </si>
  <si>
    <t>3 részes gyermek szekrénysor</t>
  </si>
  <si>
    <t>Dacia Duster vásárlás</t>
  </si>
  <si>
    <t>AW IMPEX  burgonyaültető vásárlása</t>
  </si>
  <si>
    <t>DYMO LW450 etikett nyomtató+csomagküldési díj</t>
  </si>
  <si>
    <t>Érdekeltség növelő támogatáshoz eszközbeszerzések</t>
  </si>
  <si>
    <t>EXPERT XCD144L Akkumulátoros fúró csavarozó+szállítási díj</t>
  </si>
  <si>
    <t>Fűnyíró GEO DM 150</t>
  </si>
  <si>
    <t xml:space="preserve">GEO burgonyaszedő PM egysoros </t>
  </si>
  <si>
    <t>Hengersöprű PLUS180HU560 (2011)</t>
  </si>
  <si>
    <t>hinta álvány</t>
  </si>
  <si>
    <t>HLX AD100 aut. aprítékadagoló berendezés</t>
  </si>
  <si>
    <t>Kártyaolvasó - VGSZ telephely - Canyon CNE-CARD2 Card Reader</t>
  </si>
  <si>
    <t>Kézi vetőgép lengyel 0216</t>
  </si>
  <si>
    <t>Könyv és folyóirat beszerzés</t>
  </si>
  <si>
    <t>Kyocera Ecosys M8124 cidn Multifunkciónális színes lézernyom</t>
  </si>
  <si>
    <t>lámpa</t>
  </si>
  <si>
    <t>laptoptáska</t>
  </si>
  <si>
    <t>Lapvibrátor és sarokcsiszoló vásárlása</t>
  </si>
  <si>
    <t>LEKO kombinátor 2,2 m felfüggesztett</t>
  </si>
  <si>
    <t>LEKO tárcsa 1,7 m felfüggesztett</t>
  </si>
  <si>
    <t>Micasa240x340 cm 21012/656-beige szőnyeg</t>
  </si>
  <si>
    <t>mikrosütő</t>
  </si>
  <si>
    <t>mosógép</t>
  </si>
  <si>
    <t>Panasonic KX-TG1612HGH vezeték nélküli telefon</t>
  </si>
  <si>
    <t>postaláda</t>
  </si>
  <si>
    <t>Power line</t>
  </si>
  <si>
    <t xml:space="preserve">Samsung SLM2675SF nyomtató </t>
  </si>
  <si>
    <t>Siesta gázkályha</t>
  </si>
  <si>
    <t>szivattyú</t>
  </si>
  <si>
    <t>szociopoly társas játék</t>
  </si>
  <si>
    <t>Tolólap MTZ tolólap tartószerkezettel</t>
  </si>
  <si>
    <t>vasalló, vasaló állvány,léghűtő</t>
  </si>
  <si>
    <t>Vésztöltő és külső merevlemez vásárlása</t>
  </si>
  <si>
    <t>WI-FI internet eléréséhez OutdoorDózsa Gy u. 18,Dózsa Gy. u.</t>
  </si>
  <si>
    <t xml:space="preserve">Bölcsöde építés </t>
  </si>
  <si>
    <t>Fül-orr-gégészeri vizsgáló mikroszkóp Labomed Prima ENT Gyár</t>
  </si>
  <si>
    <t xml:space="preserve">Nagykáta bel- és külterületi utak fejlesztése </t>
  </si>
  <si>
    <t>2019. évi kompenzációs számlák víz-és szennyvíz üzemeltetés</t>
  </si>
  <si>
    <t>Nagykáta Bel- és külterületi utak fejlesztése (Liszt F)</t>
  </si>
  <si>
    <t>Nagykáta felszíni csapadékvíz elvezetés létesítményeinek fej</t>
  </si>
  <si>
    <t>Kerítés felújításhoz cement vásárlás</t>
  </si>
  <si>
    <t>év</t>
  </si>
  <si>
    <t>informatikai eszközök</t>
  </si>
  <si>
    <t xml:space="preserve"> a 7/2020.(VII.1.) önkormányzati rendelethez</t>
  </si>
  <si>
    <t>14. sz. melléklet a 7/2020. (VII.1.) önkormányzati rendelethez</t>
  </si>
  <si>
    <t>12. sz. melléklet</t>
  </si>
  <si>
    <t xml:space="preserve"> Nagykáta Városi Bölcsőde</t>
  </si>
</sst>
</file>

<file path=xl/styles.xml><?xml version="1.0" encoding="utf-8"?>
<styleSheet xmlns="http://schemas.openxmlformats.org/spreadsheetml/2006/main">
  <numFmts count="4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  <numFmt numFmtId="175" formatCode="#"/>
    <numFmt numFmtId="176" formatCode="_-* #,##0\ _F_t_-;\-* #,##0\ _F_t_-;_-* &quot;-&quot;??\ _F_t_-;_-@_-"/>
    <numFmt numFmtId="177" formatCode="[$-40E]yyyy\.\ mmmm\ d\.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#,##0.0"/>
    <numFmt numFmtId="182" formatCode="#,###__;\-#,###__"/>
    <numFmt numFmtId="183" formatCode="00"/>
    <numFmt numFmtId="184" formatCode="#,###\ _F_t;\-#,###\ _F_t"/>
    <numFmt numFmtId="185" formatCode="#,###__"/>
    <numFmt numFmtId="186" formatCode="_-* #,##0.0\ _F_t_-;\-* #,##0.0\ _F_t_-;_-* &quot;-&quot;??\ _F_t_-;_-@_-"/>
    <numFmt numFmtId="187" formatCode="[$€-2]\ #\ ##,000_);[Red]\([$€-2]\ #\ ##,000\)"/>
    <numFmt numFmtId="188" formatCode="#,##0.000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_-* #,##0\ &quot;Ft&quot;_-;\-* #,##0\ &quot;Ft&quot;_-;_-* &quot;-&quot;??\ &quot;Ft&quot;_-;_-@_-"/>
    <numFmt numFmtId="192" formatCode="[$¥€-2]\ #\ ##,000_);[Red]\([$€-2]\ #\ ##,000\)"/>
    <numFmt numFmtId="193" formatCode="#,##0_ ;\-#,##0\ "/>
    <numFmt numFmtId="194" formatCode="_-* #,##0\ &quot;HUF&quot;_-;\-* #,##0\ &quot;HUF&quot;_-;_-* &quot;-&quot;??\ &quot;HUF&quot;_-;_-@_-"/>
    <numFmt numFmtId="195" formatCode="[$-40E]General"/>
    <numFmt numFmtId="196" formatCode="_-* #,##0.0\ &quot;Ft&quot;_-;\-* #,##0.0\ &quot;Ft&quot;_-;_-* &quot;-&quot;??\ &quot;Ft&quot;_-;_-@_-"/>
    <numFmt numFmtId="197" formatCode="_(* #,##0.00_);_(* \(#,##0.00\);_(* &quot;-&quot;??_);_(@_)"/>
    <numFmt numFmtId="198" formatCode="_(* #,##0.0_);_(* \(#,##0.0\);_(* &quot;-&quot;??_);_(@_)"/>
    <numFmt numFmtId="199" formatCode="_(* #,##0_);_(* \(#,##0\);_(* &quot;-&quot;??_);_(@_)"/>
    <numFmt numFmtId="200" formatCode="_-* #,##0\ _H_U_F_-;\-* #,##0\ _H_U_F_-;_-* &quot;-&quot;??\ _H_U_F_-;_-@_-"/>
    <numFmt numFmtId="201" formatCode="###\ ###\ ###\ ###\ ##0.00"/>
  </numFmts>
  <fonts count="10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 CE"/>
      <family val="1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CE"/>
      <family val="0"/>
    </font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 CE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Wingdings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3"/>
      <color indexed="62"/>
      <name val="Calibri"/>
      <family val="2"/>
    </font>
    <font>
      <u val="single"/>
      <sz val="10"/>
      <color indexed="12"/>
      <name val="Times New Roman CE"/>
      <family val="0"/>
    </font>
    <font>
      <u val="single"/>
      <sz val="10"/>
      <color indexed="20"/>
      <name val="Times New Roman CE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3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FF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39998000860214233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4" borderId="0" applyNumberFormat="0" applyBorder="0" applyAlignment="0" applyProtection="0"/>
    <xf numFmtId="0" fontId="85" fillId="7" borderId="0" applyNumberFormat="0" applyBorder="0" applyAlignment="0" applyProtection="0"/>
    <xf numFmtId="0" fontId="8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4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5" borderId="0" applyNumberFormat="0" applyBorder="0" applyAlignment="0" applyProtection="0"/>
    <xf numFmtId="0" fontId="85" fillId="18" borderId="0" applyNumberFormat="0" applyBorder="0" applyAlignment="0" applyProtection="0"/>
    <xf numFmtId="0" fontId="85" fillId="17" borderId="0" applyNumberFormat="0" applyBorder="0" applyAlignment="0" applyProtection="0"/>
    <xf numFmtId="0" fontId="55" fillId="19" borderId="0" applyNumberFormat="0" applyBorder="0" applyAlignment="0" applyProtection="0"/>
    <xf numFmtId="0" fontId="55" fillId="5" borderId="0" applyNumberFormat="0" applyBorder="0" applyAlignment="0" applyProtection="0"/>
    <xf numFmtId="0" fontId="55" fillId="20" borderId="0" applyNumberFormat="0" applyBorder="0" applyAlignment="0" applyProtection="0"/>
    <xf numFmtId="0" fontId="55" fillId="11" borderId="0" applyNumberFormat="0" applyBorder="0" applyAlignment="0" applyProtection="0"/>
    <xf numFmtId="0" fontId="55" fillId="19" borderId="0" applyNumberFormat="0" applyBorder="0" applyAlignment="0" applyProtection="0"/>
    <xf numFmtId="0" fontId="55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" borderId="0" applyNumberFormat="0" applyBorder="0" applyAlignment="0" applyProtection="0"/>
    <xf numFmtId="0" fontId="84" fillId="24" borderId="0" applyNumberFormat="0" applyBorder="0" applyAlignment="0" applyProtection="0"/>
    <xf numFmtId="0" fontId="84" fillId="17" borderId="0" applyNumberFormat="0" applyBorder="0" applyAlignment="0" applyProtection="0"/>
    <xf numFmtId="0" fontId="84" fillId="15" borderId="0" applyNumberFormat="0" applyBorder="0" applyAlignment="0" applyProtection="0"/>
    <xf numFmtId="0" fontId="84" fillId="25" borderId="0" applyNumberFormat="0" applyBorder="0" applyAlignment="0" applyProtection="0"/>
    <xf numFmtId="0" fontId="84" fillId="5" borderId="0" applyNumberFormat="0" applyBorder="0" applyAlignment="0" applyProtection="0"/>
    <xf numFmtId="0" fontId="56" fillId="26" borderId="0" applyNumberFormat="0" applyBorder="0" applyAlignment="0" applyProtection="0"/>
    <xf numFmtId="0" fontId="56" fillId="5" borderId="0" applyNumberFormat="0" applyBorder="0" applyAlignment="0" applyProtection="0"/>
    <xf numFmtId="0" fontId="56" fillId="20" borderId="0" applyNumberFormat="0" applyBorder="0" applyAlignment="0" applyProtection="0"/>
    <xf numFmtId="0" fontId="56" fillId="27" borderId="0" applyNumberFormat="0" applyBorder="0" applyAlignment="0" applyProtection="0"/>
    <xf numFmtId="0" fontId="56" fillId="2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27" borderId="0" applyNumberFormat="0" applyBorder="0" applyAlignment="0" applyProtection="0"/>
    <xf numFmtId="0" fontId="56" fillId="2" borderId="0" applyNumberFormat="0" applyBorder="0" applyAlignment="0" applyProtection="0"/>
    <xf numFmtId="0" fontId="56" fillId="32" borderId="0" applyNumberFormat="0" applyBorder="0" applyAlignment="0" applyProtection="0"/>
    <xf numFmtId="0" fontId="57" fillId="9" borderId="0" applyNumberFormat="0" applyBorder="0" applyAlignment="0" applyProtection="0"/>
    <xf numFmtId="0" fontId="86" fillId="17" borderId="1" applyNumberFormat="0" applyAlignment="0" applyProtection="0"/>
    <xf numFmtId="0" fontId="58" fillId="15" borderId="2" applyNumberFormat="0" applyAlignment="0" applyProtection="0"/>
    <xf numFmtId="0" fontId="59" fillId="33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78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87" fillId="34" borderId="7" applyNumberFormat="0" applyAlignment="0" applyProtection="0"/>
    <xf numFmtId="195" fontId="88" fillId="0" borderId="0">
      <alignment/>
      <protection/>
    </xf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61" fillId="10" borderId="0" applyNumberFormat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11" applyNumberFormat="0" applyFill="0" applyAlignment="0" applyProtection="0"/>
    <xf numFmtId="0" fontId="65" fillId="4" borderId="2" applyNumberFormat="0" applyAlignment="0" applyProtection="0"/>
    <xf numFmtId="0" fontId="0" fillId="35" borderId="12" applyNumberFormat="0" applyFont="0" applyAlignment="0" applyProtection="0"/>
    <xf numFmtId="0" fontId="92" fillId="36" borderId="0" applyNumberFormat="0" applyBorder="0" applyAlignment="0" applyProtection="0"/>
    <xf numFmtId="0" fontId="93" fillId="37" borderId="13" applyNumberFormat="0" applyAlignment="0" applyProtection="0"/>
    <xf numFmtId="0" fontId="94" fillId="0" borderId="0" applyNumberFormat="0" applyFill="0" applyBorder="0" applyAlignment="0" applyProtection="0"/>
    <xf numFmtId="0" fontId="66" fillId="0" borderId="14" applyNumberFormat="0" applyFill="0" applyAlignment="0" applyProtection="0"/>
    <xf numFmtId="0" fontId="9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7" fillId="17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85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85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55" fillId="6" borderId="15" applyNumberFormat="0" applyFont="0" applyAlignment="0" applyProtection="0"/>
    <xf numFmtId="0" fontId="68" fillId="15" borderId="16" applyNumberFormat="0" applyAlignment="0" applyProtection="0"/>
    <xf numFmtId="0" fontId="9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98" fillId="38" borderId="0" applyNumberFormat="0" applyBorder="0" applyAlignment="0" applyProtection="0"/>
    <xf numFmtId="0" fontId="99" fillId="39" borderId="0" applyNumberFormat="0" applyBorder="0" applyAlignment="0" applyProtection="0"/>
    <xf numFmtId="0" fontId="100" fillId="37" borderId="1" applyNumberFormat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8" applyNumberFormat="0" applyFill="0" applyAlignment="0" applyProtection="0"/>
    <xf numFmtId="0" fontId="71" fillId="0" borderId="0" applyNumberFormat="0" applyFill="0" applyBorder="0" applyAlignment="0" applyProtection="0"/>
  </cellStyleXfs>
  <cellXfs count="1070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74" fontId="13" fillId="0" borderId="19" xfId="0" applyNumberFormat="1" applyFont="1" applyFill="1" applyBorder="1" applyAlignment="1" applyProtection="1">
      <alignment vertical="center" wrapText="1"/>
      <protection locked="0"/>
    </xf>
    <xf numFmtId="174" fontId="0" fillId="0" borderId="0" xfId="0" applyNumberFormat="1" applyFill="1" applyAlignment="1">
      <alignment vertical="center" wrapText="1"/>
    </xf>
    <xf numFmtId="174" fontId="0" fillId="0" borderId="0" xfId="0" applyNumberFormat="1" applyFill="1" applyAlignment="1">
      <alignment horizontal="center" vertical="center" wrapText="1"/>
    </xf>
    <xf numFmtId="174" fontId="3" fillId="0" borderId="0" xfId="0" applyNumberFormat="1" applyFont="1" applyFill="1" applyAlignment="1">
      <alignment horizontal="center" vertical="center" wrapText="1"/>
    </xf>
    <xf numFmtId="17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Alignment="1" applyProtection="1">
      <alignment vertical="center" wrapText="1"/>
      <protection/>
    </xf>
    <xf numFmtId="174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4" fontId="12" fillId="0" borderId="22" xfId="0" applyNumberFormat="1" applyFont="1" applyFill="1" applyBorder="1" applyAlignment="1" applyProtection="1">
      <alignment vertical="center" wrapText="1"/>
      <protection/>
    </xf>
    <xf numFmtId="174" fontId="12" fillId="0" borderId="23" xfId="0" applyNumberFormat="1" applyFont="1" applyFill="1" applyBorder="1" applyAlignment="1" applyProtection="1">
      <alignment vertical="center" wrapText="1"/>
      <protection/>
    </xf>
    <xf numFmtId="174" fontId="3" fillId="0" borderId="0" xfId="0" applyNumberFormat="1" applyFont="1" applyFill="1" applyAlignment="1">
      <alignment vertical="center" wrapText="1"/>
    </xf>
    <xf numFmtId="174" fontId="11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7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74" fontId="12" fillId="4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74" fontId="13" fillId="0" borderId="19" xfId="0" applyNumberFormat="1" applyFont="1" applyFill="1" applyBorder="1" applyAlignment="1" applyProtection="1">
      <alignment vertical="center"/>
      <protection locked="0"/>
    </xf>
    <xf numFmtId="174" fontId="13" fillId="0" borderId="2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74" fontId="0" fillId="0" borderId="0" xfId="0" applyNumberFormat="1" applyFill="1" applyAlignment="1" applyProtection="1">
      <alignment horizontal="center" vertical="center" wrapText="1"/>
      <protection/>
    </xf>
    <xf numFmtId="174" fontId="6" fillId="0" borderId="25" xfId="0" applyNumberFormat="1" applyFont="1" applyFill="1" applyBorder="1" applyAlignment="1" applyProtection="1">
      <alignment horizontal="center" vertical="center" wrapText="1"/>
      <protection/>
    </xf>
    <xf numFmtId="174" fontId="6" fillId="0" borderId="22" xfId="0" applyNumberFormat="1" applyFont="1" applyFill="1" applyBorder="1" applyAlignment="1" applyProtection="1">
      <alignment horizontal="center" vertical="center" wrapText="1"/>
      <protection/>
    </xf>
    <xf numFmtId="174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13" fillId="0" borderId="19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174" fontId="12" fillId="0" borderId="26" xfId="0" applyNumberFormat="1" applyFont="1" applyFill="1" applyBorder="1" applyAlignment="1" applyProtection="1">
      <alignment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vertical="center" wrapText="1"/>
      <protection/>
    </xf>
    <xf numFmtId="174" fontId="12" fillId="0" borderId="22" xfId="0" applyNumberFormat="1" applyFont="1" applyFill="1" applyBorder="1" applyAlignment="1" applyProtection="1">
      <alignment vertical="center"/>
      <protection/>
    </xf>
    <xf numFmtId="174" fontId="12" fillId="0" borderId="23" xfId="0" applyNumberFormat="1" applyFont="1" applyFill="1" applyBorder="1" applyAlignment="1" applyProtection="1">
      <alignment vertical="center"/>
      <protection/>
    </xf>
    <xf numFmtId="174" fontId="4" fillId="0" borderId="0" xfId="0" applyNumberFormat="1" applyFont="1" applyFill="1" applyAlignment="1" applyProtection="1">
      <alignment horizontal="right" vertical="center"/>
      <protection/>
    </xf>
    <xf numFmtId="174" fontId="18" fillId="0" borderId="27" xfId="0" applyNumberFormat="1" applyFont="1" applyFill="1" applyBorder="1" applyAlignment="1" applyProtection="1">
      <alignment horizontal="right" vertical="center" wrapText="1" indent="1"/>
      <protection/>
    </xf>
    <xf numFmtId="17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4" fontId="20" fillId="0" borderId="28" xfId="126" applyNumberFormat="1" applyFont="1" applyFill="1" applyBorder="1" applyAlignment="1" applyProtection="1">
      <alignment vertical="center"/>
      <protection/>
    </xf>
    <xf numFmtId="174" fontId="13" fillId="0" borderId="29" xfId="0" applyNumberFormat="1" applyFont="1" applyFill="1" applyBorder="1" applyAlignment="1" applyProtection="1">
      <alignment vertical="center" wrapText="1"/>
      <protection locked="0"/>
    </xf>
    <xf numFmtId="174" fontId="12" fillId="0" borderId="26" xfId="0" applyNumberFormat="1" applyFont="1" applyFill="1" applyBorder="1" applyAlignment="1" applyProtection="1">
      <alignment vertical="center" wrapText="1"/>
      <protection/>
    </xf>
    <xf numFmtId="174" fontId="12" fillId="0" borderId="30" xfId="0" applyNumberFormat="1" applyFont="1" applyFill="1" applyBorder="1" applyAlignment="1">
      <alignment horizontal="center" vertical="center"/>
    </xf>
    <xf numFmtId="174" fontId="12" fillId="0" borderId="30" xfId="0" applyNumberFormat="1" applyFont="1" applyFill="1" applyBorder="1" applyAlignment="1">
      <alignment horizontal="center" vertical="center" wrapText="1"/>
    </xf>
    <xf numFmtId="174" fontId="12" fillId="0" borderId="31" xfId="0" applyNumberFormat="1" applyFont="1" applyFill="1" applyBorder="1" applyAlignment="1">
      <alignment horizontal="center" vertical="center"/>
    </xf>
    <xf numFmtId="174" fontId="12" fillId="0" borderId="32" xfId="0" applyNumberFormat="1" applyFont="1" applyFill="1" applyBorder="1" applyAlignment="1">
      <alignment horizontal="center" vertical="center"/>
    </xf>
    <xf numFmtId="174" fontId="12" fillId="0" borderId="32" xfId="0" applyNumberFormat="1" applyFont="1" applyFill="1" applyBorder="1" applyAlignment="1">
      <alignment horizontal="center" vertical="center" wrapText="1"/>
    </xf>
    <xf numFmtId="49" fontId="13" fillId="0" borderId="33" xfId="0" applyNumberFormat="1" applyFont="1" applyFill="1" applyBorder="1" applyAlignment="1">
      <alignment horizontal="left" vertical="center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174" fontId="12" fillId="0" borderId="35" xfId="0" applyNumberFormat="1" applyFont="1" applyFill="1" applyBorder="1" applyAlignment="1">
      <alignment horizontal="right" vertical="center" wrapText="1"/>
    </xf>
    <xf numFmtId="49" fontId="18" fillId="0" borderId="36" xfId="0" applyNumberFormat="1" applyFont="1" applyFill="1" applyBorder="1" applyAlignment="1" quotePrefix="1">
      <alignment horizontal="left" vertical="center" indent="1"/>
    </xf>
    <xf numFmtId="3" fontId="18" fillId="0" borderId="37" xfId="0" applyNumberFormat="1" applyFont="1" applyFill="1" applyBorder="1" applyAlignment="1" applyProtection="1">
      <alignment horizontal="right" vertical="center"/>
      <protection locked="0"/>
    </xf>
    <xf numFmtId="3" fontId="18" fillId="0" borderId="37" xfId="0" applyNumberFormat="1" applyFont="1" applyFill="1" applyBorder="1" applyAlignment="1" applyProtection="1">
      <alignment horizontal="right" vertical="center" wrapText="1"/>
      <protection locked="0"/>
    </xf>
    <xf numFmtId="174" fontId="12" fillId="0" borderId="37" xfId="0" applyNumberFormat="1" applyFont="1" applyFill="1" applyBorder="1" applyAlignment="1">
      <alignment horizontal="right" vertical="center" wrapText="1"/>
    </xf>
    <xf numFmtId="49" fontId="13" fillId="0" borderId="36" xfId="0" applyNumberFormat="1" applyFont="1" applyFill="1" applyBorder="1" applyAlignment="1">
      <alignment horizontal="left" vertical="center"/>
    </xf>
    <xf numFmtId="3" fontId="13" fillId="0" borderId="37" xfId="0" applyNumberFormat="1" applyFont="1" applyFill="1" applyBorder="1" applyAlignment="1" applyProtection="1">
      <alignment horizontal="right" vertical="center"/>
      <protection locked="0"/>
    </xf>
    <xf numFmtId="49" fontId="13" fillId="0" borderId="38" xfId="0" applyNumberFormat="1" applyFont="1" applyFill="1" applyBorder="1" applyAlignment="1" applyProtection="1">
      <alignment horizontal="left" vertical="center"/>
      <protection locked="0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49" fontId="12" fillId="0" borderId="40" xfId="0" applyNumberFormat="1" applyFont="1" applyFill="1" applyBorder="1" applyAlignment="1" applyProtection="1">
      <alignment horizontal="left" vertical="center" indent="1"/>
      <protection locked="0"/>
    </xf>
    <xf numFmtId="174" fontId="12" fillId="0" borderId="30" xfId="0" applyNumberFormat="1" applyFont="1" applyFill="1" applyBorder="1" applyAlignment="1">
      <alignment vertical="center"/>
    </xf>
    <xf numFmtId="4" fontId="13" fillId="0" borderId="30" xfId="0" applyNumberFormat="1" applyFont="1" applyFill="1" applyBorder="1" applyAlignment="1" applyProtection="1">
      <alignment vertical="center" wrapText="1"/>
      <protection locked="0"/>
    </xf>
    <xf numFmtId="49" fontId="12" fillId="0" borderId="41" xfId="0" applyNumberFormat="1" applyFont="1" applyFill="1" applyBorder="1" applyAlignment="1" applyProtection="1">
      <alignment vertical="center"/>
      <protection locked="0"/>
    </xf>
    <xf numFmtId="49" fontId="12" fillId="0" borderId="41" xfId="0" applyNumberFormat="1" applyFont="1" applyFill="1" applyBorder="1" applyAlignment="1" applyProtection="1">
      <alignment horizontal="right" vertical="center"/>
      <protection locked="0"/>
    </xf>
    <xf numFmtId="3" fontId="13" fillId="0" borderId="41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8" xfId="0" applyNumberFormat="1" applyFont="1" applyFill="1" applyBorder="1" applyAlignment="1" applyProtection="1">
      <alignment vertical="center"/>
      <protection locked="0"/>
    </xf>
    <xf numFmtId="49" fontId="12" fillId="0" borderId="28" xfId="0" applyNumberFormat="1" applyFont="1" applyFill="1" applyBorder="1" applyAlignment="1" applyProtection="1">
      <alignment horizontal="right" vertical="center"/>
      <protection locked="0"/>
    </xf>
    <xf numFmtId="3" fontId="1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42" xfId="0" applyNumberFormat="1" applyFont="1" applyFill="1" applyBorder="1" applyAlignment="1">
      <alignment horizontal="left" vertical="center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74" fontId="12" fillId="0" borderId="34" xfId="0" applyNumberFormat="1" applyFont="1" applyFill="1" applyBorder="1" applyAlignment="1" applyProtection="1">
      <alignment horizontal="right" vertical="center" wrapText="1"/>
      <protection/>
    </xf>
    <xf numFmtId="49" fontId="13" fillId="0" borderId="20" xfId="0" applyNumberFormat="1" applyFont="1" applyFill="1" applyBorder="1" applyAlignment="1">
      <alignment horizontal="left" vertical="center"/>
    </xf>
    <xf numFmtId="3" fontId="13" fillId="0" borderId="37" xfId="0" applyNumberFormat="1" applyFont="1" applyFill="1" applyBorder="1" applyAlignment="1" applyProtection="1">
      <alignment horizontal="right" vertical="center" wrapText="1"/>
      <protection locked="0"/>
    </xf>
    <xf numFmtId="174" fontId="12" fillId="0" borderId="37" xfId="0" applyNumberFormat="1" applyFont="1" applyFill="1" applyBorder="1" applyAlignment="1" applyProtection="1">
      <alignment horizontal="right" vertical="center" wrapText="1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 locked="0"/>
    </xf>
    <xf numFmtId="49" fontId="13" fillId="0" borderId="21" xfId="0" applyNumberFormat="1" applyFont="1" applyFill="1" applyBorder="1" applyAlignment="1" applyProtection="1">
      <alignment horizontal="left" vertical="center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181" fontId="12" fillId="0" borderId="30" xfId="0" applyNumberFormat="1" applyFont="1" applyFill="1" applyBorder="1" applyAlignment="1">
      <alignment horizontal="left" vertical="center" wrapText="1" indent="1"/>
    </xf>
    <xf numFmtId="181" fontId="27" fillId="0" borderId="0" xfId="0" applyNumberFormat="1" applyFont="1" applyFill="1" applyBorder="1" applyAlignment="1">
      <alignment horizontal="left" vertical="center" wrapText="1"/>
    </xf>
    <xf numFmtId="174" fontId="12" fillId="0" borderId="30" xfId="0" applyNumberFormat="1" applyFont="1" applyFill="1" applyBorder="1" applyAlignment="1">
      <alignment horizontal="center" vertical="center" wrapText="1"/>
    </xf>
    <xf numFmtId="3" fontId="13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4" xfId="0" applyNumberFormat="1" applyFont="1" applyFill="1" applyBorder="1" applyAlignment="1" applyProtection="1">
      <alignment horizontal="right" vertical="center" wrapText="1"/>
      <protection locked="0"/>
    </xf>
    <xf numFmtId="174" fontId="12" fillId="0" borderId="30" xfId="0" applyNumberFormat="1" applyFont="1" applyFill="1" applyBorder="1" applyAlignment="1">
      <alignment horizontal="right" vertical="center" wrapText="1"/>
    </xf>
    <xf numFmtId="4" fontId="12" fillId="0" borderId="35" xfId="0" applyNumberFormat="1" applyFont="1" applyFill="1" applyBorder="1" applyAlignment="1">
      <alignment horizontal="right" vertical="center" wrapText="1"/>
    </xf>
    <xf numFmtId="4" fontId="12" fillId="0" borderId="37" xfId="0" applyNumberFormat="1" applyFont="1" applyFill="1" applyBorder="1" applyAlignment="1">
      <alignment horizontal="right" vertical="center" wrapText="1"/>
    </xf>
    <xf numFmtId="4" fontId="12" fillId="0" borderId="44" xfId="0" applyNumberFormat="1" applyFont="1" applyFill="1" applyBorder="1" applyAlignment="1">
      <alignment horizontal="right" vertical="center" wrapText="1"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174" fontId="3" fillId="0" borderId="22" xfId="0" applyNumberFormat="1" applyFont="1" applyFill="1" applyBorder="1" applyAlignment="1" applyProtection="1">
      <alignment horizontal="right" vertical="center" wrapText="1" indent="1"/>
      <protection/>
    </xf>
    <xf numFmtId="17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7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4" fontId="6" fillId="0" borderId="47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Font="1" applyBorder="1" applyAlignment="1">
      <alignment horizontal="center" vertical="center" wrapText="1"/>
    </xf>
    <xf numFmtId="17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4" fontId="12" fillId="0" borderId="22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7" xfId="0" applyFont="1" applyFill="1" applyBorder="1" applyAlignment="1" applyProtection="1">
      <alignment horizontal="center" vertical="center" wrapText="1"/>
      <protection/>
    </xf>
    <xf numFmtId="3" fontId="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0" xfId="0" applyFont="1" applyFill="1" applyBorder="1" applyAlignment="1" applyProtection="1">
      <alignment horizontal="center" vertical="center" wrapText="1"/>
      <protection/>
    </xf>
    <xf numFmtId="3" fontId="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0" xfId="0" applyNumberFormat="1" applyFill="1" applyAlignment="1" applyProtection="1">
      <alignment horizontal="center" vertical="center" wrapText="1"/>
      <protection locked="0"/>
    </xf>
    <xf numFmtId="174" fontId="0" fillId="0" borderId="0" xfId="0" applyNumberFormat="1" applyFill="1" applyAlignment="1" applyProtection="1">
      <alignment vertical="center" wrapText="1"/>
      <protection locked="0"/>
    </xf>
    <xf numFmtId="174" fontId="4" fillId="0" borderId="0" xfId="0" applyNumberFormat="1" applyFont="1" applyFill="1" applyAlignment="1" applyProtection="1">
      <alignment horizontal="right" vertical="center"/>
      <protection locked="0"/>
    </xf>
    <xf numFmtId="174" fontId="6" fillId="0" borderId="53" xfId="0" applyNumberFormat="1" applyFont="1" applyFill="1" applyBorder="1" applyAlignment="1" applyProtection="1">
      <alignment horizontal="centerContinuous" vertical="center"/>
      <protection/>
    </xf>
    <xf numFmtId="174" fontId="6" fillId="0" borderId="54" xfId="0" applyNumberFormat="1" applyFont="1" applyFill="1" applyBorder="1" applyAlignment="1" applyProtection="1">
      <alignment horizontal="centerContinuous" vertical="center"/>
      <protection/>
    </xf>
    <xf numFmtId="174" fontId="6" fillId="0" borderId="55" xfId="0" applyNumberFormat="1" applyFont="1" applyFill="1" applyBorder="1" applyAlignment="1" applyProtection="1">
      <alignment horizontal="centerContinuous" vertical="center"/>
      <protection/>
    </xf>
    <xf numFmtId="174" fontId="19" fillId="0" borderId="0" xfId="0" applyNumberFormat="1" applyFont="1" applyFill="1" applyAlignment="1">
      <alignment vertical="center"/>
    </xf>
    <xf numFmtId="174" fontId="6" fillId="0" borderId="56" xfId="0" applyNumberFormat="1" applyFont="1" applyFill="1" applyBorder="1" applyAlignment="1" applyProtection="1">
      <alignment horizontal="center" vertical="center"/>
      <protection/>
    </xf>
    <xf numFmtId="174" fontId="6" fillId="0" borderId="57" xfId="0" applyNumberFormat="1" applyFont="1" applyFill="1" applyBorder="1" applyAlignment="1" applyProtection="1">
      <alignment horizontal="center" vertical="center"/>
      <protection/>
    </xf>
    <xf numFmtId="174" fontId="6" fillId="0" borderId="58" xfId="0" applyNumberFormat="1" applyFont="1" applyFill="1" applyBorder="1" applyAlignment="1" applyProtection="1">
      <alignment horizontal="center" vertical="center" wrapText="1"/>
      <protection/>
    </xf>
    <xf numFmtId="174" fontId="19" fillId="0" borderId="0" xfId="0" applyNumberFormat="1" applyFont="1" applyFill="1" applyAlignment="1">
      <alignment horizontal="center" vertical="center"/>
    </xf>
    <xf numFmtId="174" fontId="12" fillId="0" borderId="22" xfId="0" applyNumberFormat="1" applyFont="1" applyFill="1" applyBorder="1" applyAlignment="1" applyProtection="1">
      <alignment horizontal="center" vertical="center" wrapText="1"/>
      <protection/>
    </xf>
    <xf numFmtId="174" fontId="12" fillId="0" borderId="0" xfId="0" applyNumberFormat="1" applyFont="1" applyFill="1" applyAlignment="1">
      <alignment horizontal="center" vertical="center" wrapText="1"/>
    </xf>
    <xf numFmtId="174" fontId="12" fillId="0" borderId="59" xfId="0" applyNumberFormat="1" applyFont="1" applyFill="1" applyBorder="1" applyAlignment="1" applyProtection="1">
      <alignment horizontal="right" vertical="center" wrapText="1" indent="1"/>
      <protection/>
    </xf>
    <xf numFmtId="174" fontId="12" fillId="0" borderId="48" xfId="0" applyNumberFormat="1" applyFont="1" applyFill="1" applyBorder="1" applyAlignment="1" applyProtection="1">
      <alignment horizontal="left" vertical="center" wrapText="1" indent="1"/>
      <protection/>
    </xf>
    <xf numFmtId="1" fontId="3" fillId="40" borderId="48" xfId="0" applyNumberFormat="1" applyFont="1" applyFill="1" applyBorder="1" applyAlignment="1" applyProtection="1">
      <alignment horizontal="center" vertical="center" wrapText="1"/>
      <protection/>
    </xf>
    <xf numFmtId="174" fontId="12" fillId="0" borderId="48" xfId="0" applyNumberFormat="1" applyFont="1" applyFill="1" applyBorder="1" applyAlignment="1" applyProtection="1">
      <alignment vertical="center" wrapText="1"/>
      <protection/>
    </xf>
    <xf numFmtId="174" fontId="12" fillId="0" borderId="53" xfId="0" applyNumberFormat="1" applyFont="1" applyFill="1" applyBorder="1" applyAlignment="1" applyProtection="1">
      <alignment vertical="center" wrapText="1"/>
      <protection/>
    </xf>
    <xf numFmtId="174" fontId="12" fillId="0" borderId="35" xfId="0" applyNumberFormat="1" applyFont="1" applyFill="1" applyBorder="1" applyAlignment="1" applyProtection="1">
      <alignment vertical="center" wrapText="1"/>
      <protection/>
    </xf>
    <xf numFmtId="174" fontId="12" fillId="0" borderId="20" xfId="0" applyNumberFormat="1" applyFont="1" applyFill="1" applyBorder="1" applyAlignment="1" applyProtection="1">
      <alignment horizontal="right" vertical="center" wrapText="1" indent="1"/>
      <protection/>
    </xf>
    <xf numFmtId="17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174" fontId="13" fillId="0" borderId="37" xfId="0" applyNumberFormat="1" applyFont="1" applyFill="1" applyBorder="1" applyAlignment="1" applyProtection="1">
      <alignment vertical="center" wrapText="1"/>
      <protection/>
    </xf>
    <xf numFmtId="174" fontId="12" fillId="0" borderId="19" xfId="0" applyNumberFormat="1" applyFont="1" applyFill="1" applyBorder="1" applyAlignment="1" applyProtection="1">
      <alignment horizontal="left" vertical="center" wrapText="1" indent="1"/>
      <protection/>
    </xf>
    <xf numFmtId="1" fontId="3" fillId="40" borderId="19" xfId="0" applyNumberFormat="1" applyFont="1" applyFill="1" applyBorder="1" applyAlignment="1" applyProtection="1">
      <alignment horizontal="center" vertical="center" wrapText="1"/>
      <protection/>
    </xf>
    <xf numFmtId="174" fontId="12" fillId="0" borderId="19" xfId="0" applyNumberFormat="1" applyFont="1" applyFill="1" applyBorder="1" applyAlignment="1" applyProtection="1">
      <alignment vertical="center" wrapText="1"/>
      <protection/>
    </xf>
    <xf numFmtId="174" fontId="12" fillId="0" borderId="29" xfId="0" applyNumberFormat="1" applyFont="1" applyFill="1" applyBorder="1" applyAlignment="1" applyProtection="1">
      <alignment vertical="center" wrapText="1"/>
      <protection/>
    </xf>
    <xf numFmtId="174" fontId="12" fillId="0" borderId="37" xfId="0" applyNumberFormat="1" applyFont="1" applyFill="1" applyBorder="1" applyAlignment="1" applyProtection="1">
      <alignment vertical="center" wrapText="1"/>
      <protection/>
    </xf>
    <xf numFmtId="174" fontId="12" fillId="0" borderId="19" xfId="0" applyNumberFormat="1" applyFont="1" applyFill="1" applyBorder="1" applyAlignment="1" applyProtection="1">
      <alignment horizontal="left" vertical="center" wrapText="1" indent="1"/>
      <protection/>
    </xf>
    <xf numFmtId="174" fontId="12" fillId="0" borderId="27" xfId="0" applyNumberFormat="1" applyFont="1" applyFill="1" applyBorder="1" applyAlignment="1" applyProtection="1">
      <alignment vertical="center" wrapText="1"/>
      <protection/>
    </xf>
    <xf numFmtId="174" fontId="12" fillId="0" borderId="60" xfId="0" applyNumberFormat="1" applyFont="1" applyFill="1" applyBorder="1" applyAlignment="1" applyProtection="1">
      <alignment vertical="center" wrapText="1"/>
      <protection/>
    </xf>
    <xf numFmtId="174" fontId="13" fillId="0" borderId="27" xfId="0" applyNumberFormat="1" applyFont="1" applyFill="1" applyBorder="1" applyAlignment="1" applyProtection="1">
      <alignment vertical="center" wrapText="1"/>
      <protection locked="0"/>
    </xf>
    <xf numFmtId="174" fontId="13" fillId="0" borderId="60" xfId="0" applyNumberFormat="1" applyFont="1" applyFill="1" applyBorder="1" applyAlignment="1" applyProtection="1">
      <alignment vertical="center" wrapText="1"/>
      <protection locked="0"/>
    </xf>
    <xf numFmtId="17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7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" fontId="13" fillId="40" borderId="61" xfId="0" applyNumberFormat="1" applyFont="1" applyFill="1" applyBorder="1" applyAlignment="1" applyProtection="1">
      <alignment vertical="center" wrapText="1"/>
      <protection/>
    </xf>
    <xf numFmtId="174" fontId="12" fillId="0" borderId="22" xfId="0" applyNumberFormat="1" applyFont="1" applyFill="1" applyBorder="1" applyAlignment="1" applyProtection="1">
      <alignment vertical="center" wrapText="1"/>
      <protection/>
    </xf>
    <xf numFmtId="174" fontId="12" fillId="0" borderId="61" xfId="0" applyNumberFormat="1" applyFont="1" applyFill="1" applyBorder="1" applyAlignment="1" applyProtection="1">
      <alignment vertical="center" wrapText="1"/>
      <protection/>
    </xf>
    <xf numFmtId="174" fontId="12" fillId="0" borderId="30" xfId="0" applyNumberFormat="1" applyFont="1" applyFill="1" applyBorder="1" applyAlignment="1" applyProtection="1">
      <alignment vertical="center" wrapText="1"/>
      <protection/>
    </xf>
    <xf numFmtId="174" fontId="19" fillId="0" borderId="0" xfId="0" applyNumberFormat="1" applyFont="1" applyFill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174" fontId="13" fillId="0" borderId="29" xfId="0" applyNumberFormat="1" applyFont="1" applyFill="1" applyBorder="1" applyAlignment="1" applyProtection="1">
      <alignment vertical="center"/>
      <protection locked="0"/>
    </xf>
    <xf numFmtId="174" fontId="12" fillId="0" borderId="29" xfId="0" applyNumberFormat="1" applyFont="1" applyFill="1" applyBorder="1" applyAlignment="1" applyProtection="1">
      <alignment vertical="center"/>
      <protection/>
    </xf>
    <xf numFmtId="174" fontId="13" fillId="0" borderId="62" xfId="0" applyNumberFormat="1" applyFont="1" applyFill="1" applyBorder="1" applyAlignment="1" applyProtection="1">
      <alignment vertical="center"/>
      <protection locked="0"/>
    </xf>
    <xf numFmtId="0" fontId="13" fillId="0" borderId="63" xfId="0" applyFont="1" applyFill="1" applyBorder="1" applyAlignment="1" applyProtection="1">
      <alignment horizontal="center" vertical="center"/>
      <protection/>
    </xf>
    <xf numFmtId="0" fontId="13" fillId="0" borderId="49" xfId="0" applyFont="1" applyFill="1" applyBorder="1" applyAlignment="1" applyProtection="1">
      <alignment vertical="center" wrapText="1"/>
      <protection/>
    </xf>
    <xf numFmtId="174" fontId="13" fillId="0" borderId="49" xfId="0" applyNumberFormat="1" applyFont="1" applyFill="1" applyBorder="1" applyAlignment="1" applyProtection="1">
      <alignment vertical="center"/>
      <protection locked="0"/>
    </xf>
    <xf numFmtId="174" fontId="13" fillId="0" borderId="57" xfId="0" applyNumberFormat="1" applyFont="1" applyFill="1" applyBorder="1" applyAlignment="1" applyProtection="1">
      <alignment vertical="center"/>
      <protection locked="0"/>
    </xf>
    <xf numFmtId="174" fontId="12" fillId="0" borderId="61" xfId="0" applyNumberFormat="1" applyFont="1" applyFill="1" applyBorder="1" applyAlignment="1" applyProtection="1">
      <alignment vertical="center"/>
      <protection/>
    </xf>
    <xf numFmtId="174" fontId="12" fillId="0" borderId="58" xfId="0" applyNumberFormat="1" applyFont="1" applyFill="1" applyBorder="1" applyAlignment="1" applyProtection="1">
      <alignment vertical="center"/>
      <protection/>
    </xf>
    <xf numFmtId="174" fontId="6" fillId="0" borderId="2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center" vertical="center" wrapText="1"/>
    </xf>
    <xf numFmtId="0" fontId="28" fillId="0" borderId="0" xfId="128" applyFill="1">
      <alignment/>
      <protection/>
    </xf>
    <xf numFmtId="182" fontId="16" fillId="0" borderId="26" xfId="128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128" applyFont="1" applyFill="1">
      <alignment/>
      <protection/>
    </xf>
    <xf numFmtId="0" fontId="28" fillId="0" borderId="0" xfId="128" applyFont="1" applyFill="1">
      <alignment/>
      <protection/>
    </xf>
    <xf numFmtId="3" fontId="28" fillId="0" borderId="0" xfId="128" applyNumberFormat="1" applyFont="1" applyFill="1" applyAlignment="1">
      <alignment horizontal="center"/>
      <protection/>
    </xf>
    <xf numFmtId="0" fontId="0" fillId="0" borderId="0" xfId="127" applyFill="1" applyAlignment="1" applyProtection="1">
      <alignment vertical="center" wrapText="1"/>
      <protection/>
    </xf>
    <xf numFmtId="0" fontId="0" fillId="0" borderId="0" xfId="127" applyFill="1" applyAlignment="1" applyProtection="1">
      <alignment horizontal="center" vertical="center"/>
      <protection/>
    </xf>
    <xf numFmtId="49" fontId="0" fillId="0" borderId="0" xfId="127" applyNumberFormat="1" applyFont="1" applyFill="1" applyAlignment="1" applyProtection="1">
      <alignment horizontal="center" vertical="center"/>
      <protection/>
    </xf>
    <xf numFmtId="0" fontId="28" fillId="0" borderId="0" xfId="128" applyFont="1" applyFill="1" applyAlignment="1">
      <alignment/>
      <protection/>
    </xf>
    <xf numFmtId="0" fontId="11" fillId="0" borderId="0" xfId="127" applyFont="1" applyFill="1" applyAlignment="1" applyProtection="1">
      <alignment horizontal="center" vertical="center"/>
      <protection/>
    </xf>
    <xf numFmtId="0" fontId="15" fillId="0" borderId="23" xfId="128" applyFont="1" applyFill="1" applyBorder="1" applyAlignment="1">
      <alignment horizontal="center" vertical="center" wrapText="1"/>
      <protection/>
    </xf>
    <xf numFmtId="3" fontId="16" fillId="0" borderId="64" xfId="128" applyNumberFormat="1" applyFont="1" applyFill="1" applyBorder="1" applyProtection="1">
      <alignment/>
      <protection locked="0"/>
    </xf>
    <xf numFmtId="3" fontId="16" fillId="0" borderId="26" xfId="128" applyNumberFormat="1" applyFont="1" applyFill="1" applyBorder="1" applyProtection="1">
      <alignment/>
      <protection locked="0"/>
    </xf>
    <xf numFmtId="3" fontId="16" fillId="0" borderId="65" xfId="128" applyNumberFormat="1" applyFont="1" applyFill="1" applyBorder="1" applyProtection="1">
      <alignment/>
      <protection locked="0"/>
    </xf>
    <xf numFmtId="0" fontId="32" fillId="0" borderId="0" xfId="0" applyFont="1" applyFill="1" applyAlignment="1">
      <alignment horizontal="right"/>
    </xf>
    <xf numFmtId="0" fontId="0" fillId="0" borderId="0" xfId="0" applyAlignment="1" applyProtection="1">
      <alignment/>
      <protection/>
    </xf>
    <xf numFmtId="0" fontId="33" fillId="0" borderId="0" xfId="0" applyFont="1" applyAlignment="1" applyProtection="1">
      <alignment horizontal="right"/>
      <protection/>
    </xf>
    <xf numFmtId="0" fontId="34" fillId="0" borderId="0" xfId="0" applyFont="1" applyAlignment="1" applyProtection="1">
      <alignment horizontal="center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0" fontId="34" fillId="0" borderId="23" xfId="0" applyFont="1" applyBorder="1" applyAlignment="1" applyProtection="1">
      <alignment horizontal="center" vertical="center" wrapText="1"/>
      <protection/>
    </xf>
    <xf numFmtId="0" fontId="34" fillId="0" borderId="42" xfId="0" applyFont="1" applyBorder="1" applyAlignment="1" applyProtection="1">
      <alignment horizontal="center" vertical="top" wrapText="1"/>
      <protection/>
    </xf>
    <xf numFmtId="0" fontId="34" fillId="0" borderId="20" xfId="0" applyFont="1" applyBorder="1" applyAlignment="1" applyProtection="1">
      <alignment horizontal="center" vertical="top" wrapText="1"/>
      <protection/>
    </xf>
    <xf numFmtId="176" fontId="35" fillId="0" borderId="22" xfId="75" applyNumberFormat="1" applyFont="1" applyBorder="1" applyAlignment="1" applyProtection="1">
      <alignment horizontal="center" vertical="center" wrapText="1"/>
      <protection/>
    </xf>
    <xf numFmtId="176" fontId="35" fillId="0" borderId="64" xfId="75" applyNumberFormat="1" applyFont="1" applyBorder="1" applyAlignment="1" applyProtection="1">
      <alignment horizontal="center" vertical="top" wrapText="1"/>
      <protection locked="0"/>
    </xf>
    <xf numFmtId="176" fontId="35" fillId="0" borderId="26" xfId="75" applyNumberFormat="1" applyFont="1" applyBorder="1" applyAlignment="1" applyProtection="1">
      <alignment horizontal="center" vertical="top" wrapText="1"/>
      <protection locked="0"/>
    </xf>
    <xf numFmtId="176" fontId="35" fillId="0" borderId="23" xfId="75" applyNumberFormat="1" applyFont="1" applyBorder="1" applyAlignment="1" applyProtection="1">
      <alignment horizontal="center" vertical="top" wrapText="1"/>
      <protection/>
    </xf>
    <xf numFmtId="1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13" fillId="0" borderId="27" xfId="126" applyFont="1" applyFill="1" applyBorder="1" applyAlignment="1" applyProtection="1">
      <alignment horizontal="left" vertical="center" wrapText="1" indent="1"/>
      <protection/>
    </xf>
    <xf numFmtId="0" fontId="13" fillId="0" borderId="19" xfId="126" applyFont="1" applyFill="1" applyBorder="1" applyAlignment="1" applyProtection="1">
      <alignment horizontal="left" vertical="center" wrapText="1" indent="1"/>
      <protection/>
    </xf>
    <xf numFmtId="0" fontId="13" fillId="0" borderId="46" xfId="126" applyFont="1" applyFill="1" applyBorder="1" applyAlignment="1" applyProtection="1">
      <alignment horizontal="left" vertical="center" wrapText="1" indent="1"/>
      <protection/>
    </xf>
    <xf numFmtId="0" fontId="13" fillId="0" borderId="48" xfId="126" applyFont="1" applyFill="1" applyBorder="1" applyAlignment="1" applyProtection="1">
      <alignment horizontal="left" vertical="center" wrapText="1" indent="1"/>
      <protection/>
    </xf>
    <xf numFmtId="0" fontId="13" fillId="0" borderId="67" xfId="126" applyFont="1" applyFill="1" applyBorder="1" applyAlignment="1" applyProtection="1">
      <alignment horizontal="left" vertical="center" wrapText="1" indent="1"/>
      <protection/>
    </xf>
    <xf numFmtId="0" fontId="13" fillId="0" borderId="24" xfId="126" applyFont="1" applyFill="1" applyBorder="1" applyAlignment="1" applyProtection="1">
      <alignment horizontal="left" vertical="center" wrapText="1" indent="1"/>
      <protection/>
    </xf>
    <xf numFmtId="0" fontId="13" fillId="0" borderId="0" xfId="126" applyFont="1" applyFill="1" applyBorder="1" applyAlignment="1" applyProtection="1">
      <alignment horizontal="left" vertical="center" wrapText="1" indent="1"/>
      <protection/>
    </xf>
    <xf numFmtId="0" fontId="12" fillId="0" borderId="22" xfId="126" applyFont="1" applyFill="1" applyBorder="1" applyAlignment="1" applyProtection="1">
      <alignment horizontal="left" vertical="center" wrapText="1" indent="1"/>
      <protection/>
    </xf>
    <xf numFmtId="0" fontId="12" fillId="0" borderId="22" xfId="126" applyFont="1" applyFill="1" applyBorder="1" applyAlignment="1" applyProtection="1">
      <alignment vertical="center" wrapText="1"/>
      <protection/>
    </xf>
    <xf numFmtId="0" fontId="12" fillId="0" borderId="25" xfId="126" applyFont="1" applyFill="1" applyBorder="1" applyAlignment="1" applyProtection="1">
      <alignment horizontal="center" vertical="center" wrapText="1"/>
      <protection/>
    </xf>
    <xf numFmtId="0" fontId="12" fillId="0" borderId="22" xfId="126" applyFont="1" applyFill="1" applyBorder="1" applyAlignment="1" applyProtection="1">
      <alignment horizontal="left" vertical="center" wrapText="1" indent="1"/>
      <protection/>
    </xf>
    <xf numFmtId="0" fontId="13" fillId="0" borderId="19" xfId="126" applyFont="1" applyFill="1" applyBorder="1" applyAlignment="1" applyProtection="1">
      <alignment horizontal="left" indent="6"/>
      <protection/>
    </xf>
    <xf numFmtId="0" fontId="13" fillId="0" borderId="19" xfId="126" applyFont="1" applyFill="1" applyBorder="1" applyAlignment="1" applyProtection="1">
      <alignment horizontal="left" vertical="center" wrapText="1" indent="6"/>
      <protection/>
    </xf>
    <xf numFmtId="0" fontId="13" fillId="0" borderId="24" xfId="126" applyFont="1" applyFill="1" applyBorder="1" applyAlignment="1" applyProtection="1">
      <alignment horizontal="left" vertical="center" wrapText="1" indent="6"/>
      <protection/>
    </xf>
    <xf numFmtId="0" fontId="13" fillId="0" borderId="49" xfId="126" applyFont="1" applyFill="1" applyBorder="1" applyAlignment="1" applyProtection="1">
      <alignment horizontal="left" vertical="center" wrapText="1" indent="6"/>
      <protection/>
    </xf>
    <xf numFmtId="174" fontId="12" fillId="0" borderId="47" xfId="126" applyNumberFormat="1" applyFont="1" applyFill="1" applyBorder="1" applyAlignment="1" applyProtection="1">
      <alignment horizontal="right" vertical="center" wrapText="1" indent="1"/>
      <protection/>
    </xf>
    <xf numFmtId="174" fontId="13" fillId="0" borderId="51" xfId="126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68" xfId="126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69" xfId="126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51" xfId="126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69" xfId="126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68" xfId="126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horizontal="left" vertical="center" wrapText="1" indent="1"/>
      <protection/>
    </xf>
    <xf numFmtId="0" fontId="16" fillId="0" borderId="19" xfId="0" applyFont="1" applyBorder="1" applyAlignment="1" applyProtection="1">
      <alignment horizontal="left" vertical="center" wrapText="1" indent="1"/>
      <protection/>
    </xf>
    <xf numFmtId="0" fontId="16" fillId="0" borderId="24" xfId="0" applyFont="1" applyBorder="1" applyAlignment="1" applyProtection="1">
      <alignment horizontal="left" vertical="center" wrapText="1" indent="1"/>
      <protection/>
    </xf>
    <xf numFmtId="174" fontId="12" fillId="0" borderId="23" xfId="126" applyNumberFormat="1" applyFont="1" applyFill="1" applyBorder="1" applyAlignment="1" applyProtection="1">
      <alignment horizontal="right" vertical="center" wrapText="1" indent="1"/>
      <protection/>
    </xf>
    <xf numFmtId="0" fontId="15" fillId="0" borderId="70" xfId="0" applyFont="1" applyBorder="1" applyAlignment="1" applyProtection="1">
      <alignment horizontal="left" vertical="center" wrapText="1" indent="1"/>
      <protection/>
    </xf>
    <xf numFmtId="0" fontId="2" fillId="0" borderId="0" xfId="126" applyFont="1" applyFill="1" applyProtection="1">
      <alignment/>
      <protection/>
    </xf>
    <xf numFmtId="0" fontId="2" fillId="0" borderId="0" xfId="126" applyFont="1" applyFill="1" applyAlignment="1" applyProtection="1">
      <alignment horizontal="right" vertical="center" indent="1"/>
      <protection/>
    </xf>
    <xf numFmtId="174" fontId="12" fillId="0" borderId="22" xfId="126" applyNumberFormat="1" applyFont="1" applyFill="1" applyBorder="1" applyAlignment="1" applyProtection="1">
      <alignment horizontal="right" vertical="center" wrapText="1" indent="1"/>
      <protection/>
    </xf>
    <xf numFmtId="174" fontId="13" fillId="0" borderId="19" xfId="126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46" xfId="126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24" xfId="126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19" xfId="126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24" xfId="126" applyNumberFormat="1" applyFont="1" applyFill="1" applyBorder="1" applyAlignment="1" applyProtection="1">
      <alignment horizontal="right" vertical="center" wrapText="1" indent="1"/>
      <protection locked="0"/>
    </xf>
    <xf numFmtId="174" fontId="12" fillId="0" borderId="22" xfId="126" applyNumberFormat="1" applyFont="1" applyFill="1" applyBorder="1" applyAlignment="1" applyProtection="1">
      <alignment horizontal="right" vertical="center" wrapText="1" indent="1"/>
      <protection/>
    </xf>
    <xf numFmtId="0" fontId="13" fillId="0" borderId="46" xfId="126" applyFont="1" applyFill="1" applyBorder="1" applyAlignment="1" applyProtection="1">
      <alignment horizontal="left" vertical="center" wrapText="1" indent="6"/>
      <protection/>
    </xf>
    <xf numFmtId="0" fontId="2" fillId="0" borderId="0" xfId="126" applyFill="1" applyProtection="1">
      <alignment/>
      <protection/>
    </xf>
    <xf numFmtId="0" fontId="13" fillId="0" borderId="0" xfId="126" applyFont="1" applyFill="1" applyProtection="1">
      <alignment/>
      <protection/>
    </xf>
    <xf numFmtId="0" fontId="0" fillId="0" borderId="0" xfId="126" applyFont="1" applyFill="1" applyProtection="1">
      <alignment/>
      <protection/>
    </xf>
    <xf numFmtId="0" fontId="16" fillId="0" borderId="46" xfId="0" applyFont="1" applyBorder="1" applyAlignment="1" applyProtection="1">
      <alignment horizontal="left" wrapText="1" indent="1"/>
      <protection/>
    </xf>
    <xf numFmtId="0" fontId="16" fillId="0" borderId="19" xfId="0" applyFont="1" applyBorder="1" applyAlignment="1" applyProtection="1">
      <alignment horizontal="left" wrapText="1" indent="1"/>
      <protection/>
    </xf>
    <xf numFmtId="0" fontId="16" fillId="0" borderId="24" xfId="0" applyFont="1" applyBorder="1" applyAlignment="1" applyProtection="1">
      <alignment horizontal="left" wrapText="1" indent="1"/>
      <protection/>
    </xf>
    <xf numFmtId="0" fontId="2" fillId="0" borderId="0" xfId="126" applyFill="1" applyAlignment="1" applyProtection="1">
      <alignment/>
      <protection/>
    </xf>
    <xf numFmtId="0" fontId="5" fillId="0" borderId="0" xfId="126" applyFont="1" applyFill="1" applyProtection="1">
      <alignment/>
      <protection/>
    </xf>
    <xf numFmtId="174" fontId="12" fillId="0" borderId="47" xfId="126" applyNumberFormat="1" applyFont="1" applyFill="1" applyBorder="1" applyAlignment="1" applyProtection="1">
      <alignment horizontal="right" vertical="center" wrapText="1" indent="1"/>
      <protection/>
    </xf>
    <xf numFmtId="174" fontId="13" fillId="0" borderId="46" xfId="126" applyNumberFormat="1" applyFont="1" applyFill="1" applyBorder="1" applyAlignment="1" applyProtection="1">
      <alignment horizontal="right" vertical="center" wrapText="1" indent="1"/>
      <protection locked="0"/>
    </xf>
    <xf numFmtId="174" fontId="12" fillId="0" borderId="22" xfId="126" applyNumberFormat="1" applyFont="1" applyFill="1" applyBorder="1" applyAlignment="1" applyProtection="1">
      <alignment horizontal="right" vertical="center" wrapText="1" indent="1"/>
      <protection locked="0"/>
    </xf>
    <xf numFmtId="174" fontId="12" fillId="0" borderId="47" xfId="126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26" applyFill="1" applyAlignment="1" applyProtection="1">
      <alignment horizontal="left" vertical="center" indent="1"/>
      <protection/>
    </xf>
    <xf numFmtId="174" fontId="6" fillId="0" borderId="50" xfId="0" applyNumberFormat="1" applyFont="1" applyFill="1" applyBorder="1" applyAlignment="1" applyProtection="1">
      <alignment horizontal="center" vertical="center" wrapText="1"/>
      <protection/>
    </xf>
    <xf numFmtId="17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4" fontId="12" fillId="0" borderId="25" xfId="0" applyNumberFormat="1" applyFont="1" applyFill="1" applyBorder="1" applyAlignment="1" applyProtection="1">
      <alignment horizontal="left" vertical="center" wrapText="1" indent="1"/>
      <protection/>
    </xf>
    <xf numFmtId="17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4" fontId="12" fillId="0" borderId="22" xfId="0" applyNumberFormat="1" applyFont="1" applyFill="1" applyBorder="1" applyAlignment="1" applyProtection="1">
      <alignment horizontal="right" vertical="center" wrapText="1" indent="1"/>
      <protection/>
    </xf>
    <xf numFmtId="17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74" fontId="5" fillId="0" borderId="0" xfId="0" applyNumberFormat="1" applyFont="1" applyFill="1" applyAlignment="1" applyProtection="1">
      <alignment horizontal="centerContinuous" vertical="center" wrapText="1"/>
      <protection/>
    </xf>
    <xf numFmtId="174" fontId="0" fillId="0" borderId="0" xfId="0" applyNumberFormat="1" applyFill="1" applyAlignment="1" applyProtection="1">
      <alignment horizontal="centerContinuous" vertical="center"/>
      <protection/>
    </xf>
    <xf numFmtId="174" fontId="3" fillId="0" borderId="0" xfId="0" applyNumberFormat="1" applyFont="1" applyFill="1" applyAlignment="1" applyProtection="1">
      <alignment horizontal="center" vertical="center" wrapText="1"/>
      <protection/>
    </xf>
    <xf numFmtId="174" fontId="12" fillId="0" borderId="0" xfId="0" applyNumberFormat="1" applyFont="1" applyFill="1" applyAlignment="1" applyProtection="1">
      <alignment horizontal="center" vertical="center" wrapText="1"/>
      <protection/>
    </xf>
    <xf numFmtId="174" fontId="0" fillId="0" borderId="43" xfId="0" applyNumberFormat="1" applyFill="1" applyBorder="1" applyAlignment="1" applyProtection="1">
      <alignment horizontal="left" vertical="center" wrapText="1" indent="1"/>
      <protection/>
    </xf>
    <xf numFmtId="17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37" xfId="0" applyNumberFormat="1" applyFill="1" applyBorder="1" applyAlignment="1" applyProtection="1">
      <alignment horizontal="left" vertical="center" wrapText="1" indent="1"/>
      <protection/>
    </xf>
    <xf numFmtId="17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74" fontId="13" fillId="0" borderId="71" xfId="0" applyNumberFormat="1" applyFont="1" applyFill="1" applyBorder="1" applyAlignment="1" applyProtection="1">
      <alignment horizontal="left" vertical="center" wrapText="1" indent="1"/>
      <protection/>
    </xf>
    <xf numFmtId="174" fontId="3" fillId="0" borderId="30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72" xfId="0" applyNumberFormat="1" applyFont="1" applyFill="1" applyBorder="1" applyAlignment="1" applyProtection="1">
      <alignment horizontal="left" vertical="center" wrapText="1" indent="1"/>
      <protection/>
    </xf>
    <xf numFmtId="174" fontId="13" fillId="0" borderId="73" xfId="0" applyNumberFormat="1" applyFont="1" applyFill="1" applyBorder="1" applyAlignment="1" applyProtection="1">
      <alignment horizontal="left" vertical="center" wrapText="1" indent="1"/>
      <protection/>
    </xf>
    <xf numFmtId="17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74" fontId="18" fillId="0" borderId="19" xfId="0" applyNumberFormat="1" applyFont="1" applyFill="1" applyBorder="1" applyAlignment="1" applyProtection="1">
      <alignment horizontal="right" vertical="center" wrapText="1" indent="1"/>
      <protection/>
    </xf>
    <xf numFmtId="17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74" fontId="3" fillId="0" borderId="47" xfId="0" applyNumberFormat="1" applyFont="1" applyFill="1" applyBorder="1" applyAlignment="1" applyProtection="1">
      <alignment horizontal="right" vertical="center" wrapText="1" indent="1"/>
      <protection/>
    </xf>
    <xf numFmtId="17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4" fontId="6" fillId="0" borderId="23" xfId="0" applyNumberFormat="1" applyFont="1" applyFill="1" applyBorder="1" applyAlignment="1" applyProtection="1">
      <alignment horizontal="center" vertical="center" wrapText="1"/>
      <protection/>
    </xf>
    <xf numFmtId="17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7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7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7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7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74" fontId="12" fillId="0" borderId="30" xfId="0" applyNumberFormat="1" applyFont="1" applyFill="1" applyBorder="1" applyAlignment="1" applyProtection="1">
      <alignment horizontal="center" vertical="center" wrapText="1"/>
      <protection/>
    </xf>
    <xf numFmtId="174" fontId="12" fillId="0" borderId="25" xfId="0" applyNumberFormat="1" applyFont="1" applyFill="1" applyBorder="1" applyAlignment="1" applyProtection="1">
      <alignment horizontal="center" vertical="center" wrapText="1"/>
      <protection/>
    </xf>
    <xf numFmtId="174" fontId="12" fillId="0" borderId="22" xfId="0" applyNumberFormat="1" applyFont="1" applyFill="1" applyBorder="1" applyAlignment="1" applyProtection="1">
      <alignment horizontal="center" vertical="center" wrapText="1"/>
      <protection/>
    </xf>
    <xf numFmtId="174" fontId="12" fillId="0" borderId="23" xfId="0" applyNumberFormat="1" applyFont="1" applyFill="1" applyBorder="1" applyAlignment="1" applyProtection="1">
      <alignment horizontal="center" vertical="center" wrapText="1"/>
      <protection/>
    </xf>
    <xf numFmtId="174" fontId="18" fillId="0" borderId="73" xfId="0" applyNumberFormat="1" applyFont="1" applyFill="1" applyBorder="1" applyAlignment="1" applyProtection="1">
      <alignment horizontal="left" vertical="center" wrapText="1" indent="1"/>
      <protection/>
    </xf>
    <xf numFmtId="174" fontId="13" fillId="0" borderId="20" xfId="0" applyNumberFormat="1" applyFont="1" applyFill="1" applyBorder="1" applyAlignment="1" applyProtection="1">
      <alignment horizontal="left" vertical="center" wrapText="1" indent="2"/>
      <protection/>
    </xf>
    <xf numFmtId="17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74" fontId="18" fillId="0" borderId="19" xfId="0" applyNumberFormat="1" applyFont="1" applyFill="1" applyBorder="1" applyAlignment="1" applyProtection="1">
      <alignment horizontal="left" vertical="center" wrapText="1" indent="1"/>
      <protection/>
    </xf>
    <xf numFmtId="17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74" fontId="13" fillId="0" borderId="42" xfId="0" applyNumberFormat="1" applyFont="1" applyFill="1" applyBorder="1" applyAlignment="1" applyProtection="1">
      <alignment horizontal="left" vertical="center" wrapText="1" indent="2"/>
      <protection/>
    </xf>
    <xf numFmtId="174" fontId="13" fillId="0" borderId="21" xfId="0" applyNumberFormat="1" applyFont="1" applyFill="1" applyBorder="1" applyAlignment="1" applyProtection="1">
      <alignment horizontal="left" vertical="center" wrapText="1" indent="2"/>
      <protection/>
    </xf>
    <xf numFmtId="174" fontId="18" fillId="0" borderId="46" xfId="0" applyNumberFormat="1" applyFont="1" applyFill="1" applyBorder="1" applyAlignment="1" applyProtection="1">
      <alignment horizontal="right" vertical="center" wrapText="1" indent="1"/>
      <protection/>
    </xf>
    <xf numFmtId="174" fontId="0" fillId="0" borderId="72" xfId="0" applyNumberFormat="1" applyFill="1" applyBorder="1" applyAlignment="1" applyProtection="1">
      <alignment horizontal="left" vertical="center" wrapText="1" indent="1"/>
      <protection/>
    </xf>
    <xf numFmtId="174" fontId="13" fillId="0" borderId="73" xfId="0" applyNumberFormat="1" applyFont="1" applyFill="1" applyBorder="1" applyAlignment="1" applyProtection="1">
      <alignment horizontal="left" vertical="center" wrapText="1" indent="1"/>
      <protection/>
    </xf>
    <xf numFmtId="174" fontId="13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20" xfId="0" applyNumberFormat="1" applyFont="1" applyFill="1" applyBorder="1" applyAlignment="1" applyProtection="1" quotePrefix="1">
      <alignment horizontal="left" vertical="center" wrapText="1" indent="3"/>
      <protection locked="0"/>
    </xf>
    <xf numFmtId="174" fontId="13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74" fontId="13" fillId="0" borderId="20" xfId="0" applyNumberFormat="1" applyFont="1" applyFill="1" applyBorder="1" applyAlignment="1" applyProtection="1" quotePrefix="1">
      <alignment horizontal="left" vertical="center" wrapText="1" indent="6"/>
      <protection locked="0"/>
    </xf>
    <xf numFmtId="174" fontId="13" fillId="0" borderId="20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1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19" fillId="0" borderId="0" xfId="0" applyFont="1" applyFill="1" applyAlignment="1" applyProtection="1">
      <alignment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174" fontId="2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74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50" xfId="0" applyFont="1" applyFill="1" applyBorder="1" applyAlignment="1" applyProtection="1">
      <alignment vertical="center" wrapText="1"/>
      <protection/>
    </xf>
    <xf numFmtId="174" fontId="13" fillId="0" borderId="75" xfId="126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26" xfId="126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64" xfId="126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65" xfId="126" applyNumberFormat="1" applyFont="1" applyFill="1" applyBorder="1" applyAlignment="1" applyProtection="1">
      <alignment horizontal="right" vertical="center" wrapText="1" indent="1"/>
      <protection locked="0"/>
    </xf>
    <xf numFmtId="174" fontId="12" fillId="0" borderId="23" xfId="126" applyNumberFormat="1" applyFont="1" applyFill="1" applyBorder="1" applyAlignment="1" applyProtection="1">
      <alignment horizontal="right" vertical="center" wrapText="1" indent="1"/>
      <protection/>
    </xf>
    <xf numFmtId="174" fontId="13" fillId="0" borderId="58" xfId="126" applyNumberFormat="1" applyFont="1" applyFill="1" applyBorder="1" applyAlignment="1" applyProtection="1">
      <alignment horizontal="right" vertical="center" wrapText="1" indent="1"/>
      <protection locked="0"/>
    </xf>
    <xf numFmtId="174" fontId="17" fillId="0" borderId="23" xfId="0" applyNumberFormat="1" applyFont="1" applyBorder="1" applyAlignment="1" applyProtection="1">
      <alignment horizontal="right" vertical="center" wrapText="1" indent="1"/>
      <protection/>
    </xf>
    <xf numFmtId="17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wrapText="1"/>
      <protection/>
    </xf>
    <xf numFmtId="0" fontId="17" fillId="0" borderId="22" xfId="0" applyFont="1" applyBorder="1" applyAlignment="1" applyProtection="1">
      <alignment wrapText="1"/>
      <protection/>
    </xf>
    <xf numFmtId="0" fontId="17" fillId="0" borderId="70" xfId="0" applyFont="1" applyBorder="1" applyAlignment="1" applyProtection="1">
      <alignment wrapText="1"/>
      <protection/>
    </xf>
    <xf numFmtId="17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42" xfId="126" applyNumberFormat="1" applyFont="1" applyFill="1" applyBorder="1" applyAlignment="1" applyProtection="1">
      <alignment horizontal="center" vertical="center" wrapText="1"/>
      <protection/>
    </xf>
    <xf numFmtId="49" fontId="13" fillId="0" borderId="20" xfId="126" applyNumberFormat="1" applyFont="1" applyFill="1" applyBorder="1" applyAlignment="1" applyProtection="1">
      <alignment horizontal="center" vertical="center" wrapText="1"/>
      <protection/>
    </xf>
    <xf numFmtId="49" fontId="13" fillId="0" borderId="21" xfId="126" applyNumberFormat="1" applyFont="1" applyFill="1" applyBorder="1" applyAlignment="1" applyProtection="1">
      <alignment horizontal="center" vertical="center" wrapText="1"/>
      <protection/>
    </xf>
    <xf numFmtId="0" fontId="17" fillId="0" borderId="25" xfId="0" applyFont="1" applyBorder="1" applyAlignment="1" applyProtection="1">
      <alignment horizontal="center" wrapText="1"/>
      <protection/>
    </xf>
    <xf numFmtId="0" fontId="16" fillId="0" borderId="42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/>
    </xf>
    <xf numFmtId="0" fontId="16" fillId="0" borderId="21" xfId="0" applyFont="1" applyBorder="1" applyAlignment="1" applyProtection="1">
      <alignment horizontal="center" wrapText="1"/>
      <protection/>
    </xf>
    <xf numFmtId="0" fontId="17" fillId="0" borderId="76" xfId="0" applyFont="1" applyBorder="1" applyAlignment="1" applyProtection="1">
      <alignment horizontal="center" wrapText="1"/>
      <protection/>
    </xf>
    <xf numFmtId="49" fontId="13" fillId="0" borderId="59" xfId="126" applyNumberFormat="1" applyFont="1" applyFill="1" applyBorder="1" applyAlignment="1" applyProtection="1">
      <alignment horizontal="center" vertical="center" wrapText="1"/>
      <protection/>
    </xf>
    <xf numFmtId="49" fontId="13" fillId="0" borderId="73" xfId="126" applyNumberFormat="1" applyFont="1" applyFill="1" applyBorder="1" applyAlignment="1" applyProtection="1">
      <alignment horizontal="center" vertical="center" wrapText="1"/>
      <protection/>
    </xf>
    <xf numFmtId="0" fontId="17" fillId="0" borderId="76" xfId="0" applyFont="1" applyBorder="1" applyAlignment="1" applyProtection="1">
      <alignment horizontal="center" vertical="center" wrapText="1"/>
      <protection/>
    </xf>
    <xf numFmtId="0" fontId="6" fillId="0" borderId="7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74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70" xfId="126" applyFont="1" applyFill="1" applyBorder="1" applyAlignment="1" applyProtection="1">
      <alignment horizontal="left" vertical="center" wrapText="1" inden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left" vertical="center" wrapText="1" indent="1"/>
      <protection/>
    </xf>
    <xf numFmtId="0" fontId="17" fillId="0" borderId="25" xfId="0" applyFont="1" applyBorder="1" applyAlignment="1" applyProtection="1">
      <alignment horizontal="center" vertical="center" wrapText="1"/>
      <protection/>
    </xf>
    <xf numFmtId="0" fontId="22" fillId="0" borderId="50" xfId="0" applyFont="1" applyBorder="1" applyAlignment="1" applyProtection="1">
      <alignment horizontal="left" wrapText="1" indent="1"/>
      <protection/>
    </xf>
    <xf numFmtId="0" fontId="6" fillId="0" borderId="2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74" fontId="1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74" fontId="12" fillId="0" borderId="47" xfId="0" applyNumberFormat="1" applyFont="1" applyFill="1" applyBorder="1" applyAlignment="1" applyProtection="1">
      <alignment horizontal="right" vertical="center" wrapText="1" indent="1"/>
      <protection/>
    </xf>
    <xf numFmtId="174" fontId="12" fillId="0" borderId="4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13" fillId="0" borderId="59" xfId="0" applyNumberFormat="1" applyFont="1" applyFill="1" applyBorder="1" applyAlignment="1" applyProtection="1">
      <alignment horizontal="center"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42" xfId="0" applyNumberFormat="1" applyFont="1" applyFill="1" applyBorder="1" applyAlignment="1" applyProtection="1">
      <alignment horizontal="center" vertical="center" wrapText="1"/>
      <protection/>
    </xf>
    <xf numFmtId="0" fontId="13" fillId="0" borderId="46" xfId="126" applyFont="1" applyFill="1" applyBorder="1" applyAlignment="1" applyProtection="1">
      <alignment horizontal="left" vertical="center" wrapText="1" indent="1"/>
      <protection/>
    </xf>
    <xf numFmtId="0" fontId="13" fillId="0" borderId="19" xfId="126" applyFont="1" applyFill="1" applyBorder="1" applyAlignment="1" applyProtection="1">
      <alignment horizontal="left" vertical="center" wrapText="1" indent="1"/>
      <protection/>
    </xf>
    <xf numFmtId="0" fontId="13" fillId="0" borderId="70" xfId="126" applyFont="1" applyFill="1" applyBorder="1" applyAlignment="1" applyProtection="1" quotePrefix="1">
      <alignment horizontal="left" vertical="center" wrapText="1" indent="1"/>
      <protection/>
    </xf>
    <xf numFmtId="17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5" xfId="0" applyFont="1" applyFill="1" applyBorder="1" applyAlignment="1">
      <alignment horizontal="center" vertical="center" wrapText="1"/>
    </xf>
    <xf numFmtId="174" fontId="13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174" fontId="12" fillId="0" borderId="40" xfId="0" applyNumberFormat="1" applyFont="1" applyFill="1" applyBorder="1" applyAlignment="1" applyProtection="1">
      <alignment horizontal="center" vertical="center" wrapText="1"/>
      <protection/>
    </xf>
    <xf numFmtId="174" fontId="12" fillId="0" borderId="61" xfId="0" applyNumberFormat="1" applyFont="1" applyFill="1" applyBorder="1" applyAlignment="1" applyProtection="1">
      <alignment horizontal="center" vertical="center" wrapText="1"/>
      <protection/>
    </xf>
    <xf numFmtId="174" fontId="12" fillId="0" borderId="72" xfId="0" applyNumberFormat="1" applyFont="1" applyFill="1" applyBorder="1" applyAlignment="1" applyProtection="1">
      <alignment horizontal="center" vertical="center" wrapText="1"/>
      <protection/>
    </xf>
    <xf numFmtId="174" fontId="12" fillId="0" borderId="50" xfId="0" applyNumberFormat="1" applyFont="1" applyFill="1" applyBorder="1" applyAlignment="1" applyProtection="1">
      <alignment horizontal="right" vertical="center" wrapText="1" indent="1"/>
      <protection/>
    </xf>
    <xf numFmtId="174" fontId="13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74" fontId="1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74" fontId="12" fillId="0" borderId="50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128" applyFill="1" applyProtection="1">
      <alignment/>
      <protection/>
    </xf>
    <xf numFmtId="0" fontId="37" fillId="0" borderId="0" xfId="128" applyFont="1" applyFill="1" applyProtection="1">
      <alignment/>
      <protection/>
    </xf>
    <xf numFmtId="0" fontId="27" fillId="0" borderId="63" xfId="128" applyFont="1" applyFill="1" applyBorder="1" applyAlignment="1" applyProtection="1">
      <alignment horizontal="center" vertical="center" wrapText="1"/>
      <protection/>
    </xf>
    <xf numFmtId="0" fontId="27" fillId="0" borderId="58" xfId="128" applyFont="1" applyFill="1" applyBorder="1" applyAlignment="1" applyProtection="1">
      <alignment horizontal="center" vertical="center" wrapText="1"/>
      <protection/>
    </xf>
    <xf numFmtId="0" fontId="28" fillId="0" borderId="0" xfId="128" applyFill="1" applyAlignment="1" applyProtection="1">
      <alignment horizontal="center" vertical="center"/>
      <protection/>
    </xf>
    <xf numFmtId="0" fontId="17" fillId="0" borderId="59" xfId="128" applyFont="1" applyFill="1" applyBorder="1" applyAlignment="1" applyProtection="1">
      <alignment vertical="center" wrapText="1"/>
      <protection/>
    </xf>
    <xf numFmtId="0" fontId="28" fillId="0" borderId="0" xfId="128" applyFill="1" applyAlignment="1" applyProtection="1">
      <alignment vertical="center"/>
      <protection/>
    </xf>
    <xf numFmtId="0" fontId="17" fillId="0" borderId="20" xfId="128" applyFont="1" applyFill="1" applyBorder="1" applyAlignment="1" applyProtection="1">
      <alignment vertical="center" wrapText="1"/>
      <protection/>
    </xf>
    <xf numFmtId="0" fontId="26" fillId="0" borderId="20" xfId="128" applyFont="1" applyFill="1" applyBorder="1" applyAlignment="1" applyProtection="1">
      <alignment horizontal="left" vertical="center" wrapText="1" indent="1"/>
      <protection/>
    </xf>
    <xf numFmtId="0" fontId="16" fillId="0" borderId="0" xfId="128" applyFont="1" applyFill="1" applyProtection="1">
      <alignment/>
      <protection/>
    </xf>
    <xf numFmtId="3" fontId="28" fillId="0" borderId="0" xfId="128" applyNumberFormat="1" applyFont="1" applyFill="1" applyProtection="1">
      <alignment/>
      <protection/>
    </xf>
    <xf numFmtId="0" fontId="28" fillId="0" borderId="0" xfId="128" applyFont="1" applyFill="1" applyProtection="1">
      <alignment/>
      <protection/>
    </xf>
    <xf numFmtId="0" fontId="0" fillId="0" borderId="0" xfId="127" applyFill="1" applyAlignment="1" applyProtection="1">
      <alignment vertical="center"/>
      <protection/>
    </xf>
    <xf numFmtId="0" fontId="0" fillId="0" borderId="0" xfId="127" applyFont="1" applyFill="1" applyAlignment="1" applyProtection="1">
      <alignment vertical="center"/>
      <protection/>
    </xf>
    <xf numFmtId="0" fontId="28" fillId="0" borderId="0" xfId="128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184" fontId="12" fillId="0" borderId="23" xfId="127" applyNumberFormat="1" applyFont="1" applyFill="1" applyBorder="1" applyAlignment="1" applyProtection="1">
      <alignment vertical="center"/>
      <protection/>
    </xf>
    <xf numFmtId="0" fontId="38" fillId="0" borderId="0" xfId="128" applyFont="1" applyFill="1">
      <alignment/>
      <protection/>
    </xf>
    <xf numFmtId="17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49" xfId="126" applyNumberFormat="1" applyFont="1" applyFill="1" applyBorder="1" applyAlignment="1" applyProtection="1">
      <alignment horizontal="center" vertical="center" wrapText="1"/>
      <protection/>
    </xf>
    <xf numFmtId="1" fontId="3" fillId="40" borderId="52" xfId="0" applyNumberFormat="1" applyFont="1" applyFill="1" applyBorder="1" applyAlignment="1" applyProtection="1">
      <alignment horizontal="center" vertical="center" wrapText="1"/>
      <protection/>
    </xf>
    <xf numFmtId="1" fontId="0" fillId="0" borderId="67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74" fontId="12" fillId="0" borderId="63" xfId="0" applyNumberFormat="1" applyFont="1" applyFill="1" applyBorder="1" applyAlignment="1" applyProtection="1">
      <alignment horizontal="right" vertical="center" wrapText="1" indent="1"/>
      <protection/>
    </xf>
    <xf numFmtId="174" fontId="13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84" xfId="0" applyFont="1" applyFill="1" applyBorder="1" applyAlignment="1" applyProtection="1">
      <alignment horizontal="left" vertical="center" wrapText="1" indent="1"/>
      <protection/>
    </xf>
    <xf numFmtId="17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19" xfId="0" applyBorder="1" applyAlignment="1">
      <alignment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19" xfId="0" applyFont="1" applyBorder="1" applyAlignment="1">
      <alignment horizontal="center" wrapText="1"/>
    </xf>
    <xf numFmtId="0" fontId="45" fillId="0" borderId="46" xfId="0" applyFont="1" applyBorder="1" applyAlignment="1">
      <alignment/>
    </xf>
    <xf numFmtId="0" fontId="44" fillId="0" borderId="19" xfId="0" applyFont="1" applyBorder="1" applyAlignment="1">
      <alignment horizontal="center"/>
    </xf>
    <xf numFmtId="0" fontId="44" fillId="0" borderId="19" xfId="0" applyFont="1" applyBorder="1" applyAlignment="1">
      <alignment horizontal="center" wrapText="1"/>
    </xf>
    <xf numFmtId="0" fontId="0" fillId="0" borderId="19" xfId="0" applyBorder="1" applyAlignment="1">
      <alignment/>
    </xf>
    <xf numFmtId="1" fontId="0" fillId="0" borderId="19" xfId="0" applyNumberFormat="1" applyBorder="1" applyAlignment="1">
      <alignment/>
    </xf>
    <xf numFmtId="41" fontId="0" fillId="0" borderId="19" xfId="0" applyNumberFormat="1" applyBorder="1" applyAlignment="1">
      <alignment/>
    </xf>
    <xf numFmtId="0" fontId="46" fillId="0" borderId="46" xfId="0" applyFont="1" applyBorder="1" applyAlignment="1">
      <alignment/>
    </xf>
    <xf numFmtId="0" fontId="0" fillId="15" borderId="46" xfId="0" applyFill="1" applyBorder="1" applyAlignment="1">
      <alignment/>
    </xf>
    <xf numFmtId="1" fontId="45" fillId="0" borderId="19" xfId="0" applyNumberFormat="1" applyFont="1" applyFill="1" applyBorder="1" applyAlignment="1">
      <alignment horizontal="right"/>
    </xf>
    <xf numFmtId="41" fontId="46" fillId="0" borderId="46" xfId="0" applyNumberFormat="1" applyFont="1" applyFill="1" applyBorder="1" applyAlignment="1">
      <alignment/>
    </xf>
    <xf numFmtId="1" fontId="46" fillId="0" borderId="19" xfId="0" applyNumberFormat="1" applyFont="1" applyBorder="1" applyAlignment="1">
      <alignment/>
    </xf>
    <xf numFmtId="41" fontId="47" fillId="0" borderId="19" xfId="0" applyNumberFormat="1" applyFont="1" applyBorder="1" applyAlignment="1">
      <alignment/>
    </xf>
    <xf numFmtId="41" fontId="47" fillId="0" borderId="0" xfId="0" applyNumberFormat="1" applyFont="1" applyAlignment="1">
      <alignment/>
    </xf>
    <xf numFmtId="0" fontId="46" fillId="0" borderId="19" xfId="0" applyFont="1" applyBorder="1" applyAlignment="1">
      <alignment wrapText="1"/>
    </xf>
    <xf numFmtId="41" fontId="46" fillId="0" borderId="19" xfId="0" applyNumberFormat="1" applyFont="1" applyBorder="1" applyAlignment="1">
      <alignment/>
    </xf>
    <xf numFmtId="0" fontId="43" fillId="0" borderId="19" xfId="0" applyFont="1" applyBorder="1" applyAlignment="1">
      <alignment wrapText="1"/>
    </xf>
    <xf numFmtId="41" fontId="46" fillId="0" borderId="19" xfId="0" applyNumberFormat="1" applyFont="1" applyBorder="1" applyAlignment="1">
      <alignment horizontal="right"/>
    </xf>
    <xf numFmtId="0" fontId="51" fillId="0" borderId="0" xfId="126" applyFont="1" applyFill="1" applyProtection="1">
      <alignment/>
      <protection/>
    </xf>
    <xf numFmtId="0" fontId="51" fillId="0" borderId="0" xfId="126" applyFont="1" applyFill="1" applyAlignment="1" applyProtection="1">
      <alignment horizontal="right" vertical="center" indent="1"/>
      <protection/>
    </xf>
    <xf numFmtId="3" fontId="51" fillId="41" borderId="20" xfId="0" applyNumberFormat="1" applyFont="1" applyFill="1" applyBorder="1" applyAlignment="1">
      <alignment horizontal="right" vertical="top" wrapText="1"/>
    </xf>
    <xf numFmtId="3" fontId="51" fillId="41" borderId="26" xfId="0" applyNumberFormat="1" applyFont="1" applyFill="1" applyBorder="1" applyAlignment="1">
      <alignment horizontal="right" vertical="top" wrapText="1"/>
    </xf>
    <xf numFmtId="3" fontId="50" fillId="41" borderId="20" xfId="0" applyNumberFormat="1" applyFont="1" applyFill="1" applyBorder="1" applyAlignment="1">
      <alignment horizontal="right" vertical="top" wrapText="1"/>
    </xf>
    <xf numFmtId="3" fontId="50" fillId="41" borderId="26" xfId="0" applyNumberFormat="1" applyFont="1" applyFill="1" applyBorder="1" applyAlignment="1">
      <alignment horizontal="right" vertical="top" wrapText="1"/>
    </xf>
    <xf numFmtId="3" fontId="50" fillId="41" borderId="63" xfId="0" applyNumberFormat="1" applyFont="1" applyFill="1" applyBorder="1" applyAlignment="1">
      <alignment horizontal="right" vertical="top" wrapText="1"/>
    </xf>
    <xf numFmtId="3" fontId="50" fillId="41" borderId="58" xfId="0" applyNumberFormat="1" applyFont="1" applyFill="1" applyBorder="1" applyAlignment="1">
      <alignment horizontal="right" vertical="top" wrapText="1"/>
    </xf>
    <xf numFmtId="0" fontId="29" fillId="0" borderId="19" xfId="111" applyFont="1" applyFill="1" applyBorder="1" applyAlignment="1">
      <alignment horizontal="center" vertical="top" wrapText="1"/>
      <protection/>
    </xf>
    <xf numFmtId="0" fontId="29" fillId="0" borderId="19" xfId="0" applyFont="1" applyFill="1" applyBorder="1" applyAlignment="1">
      <alignment horizontal="center" vertical="top" wrapText="1"/>
    </xf>
    <xf numFmtId="0" fontId="29" fillId="0" borderId="20" xfId="111" applyFont="1" applyFill="1" applyBorder="1" applyAlignment="1">
      <alignment horizontal="center" vertical="top" wrapText="1"/>
      <protection/>
    </xf>
    <xf numFmtId="0" fontId="29" fillId="0" borderId="26" xfId="111" applyFont="1" applyFill="1" applyBorder="1" applyAlignment="1">
      <alignment horizontal="center" vertical="top" wrapText="1"/>
      <protection/>
    </xf>
    <xf numFmtId="0" fontId="29" fillId="0" borderId="20" xfId="0" applyFont="1" applyFill="1" applyBorder="1" applyAlignment="1">
      <alignment horizontal="center" vertical="top" wrapText="1"/>
    </xf>
    <xf numFmtId="0" fontId="29" fillId="0" borderId="26" xfId="0" applyFont="1" applyFill="1" applyBorder="1" applyAlignment="1">
      <alignment horizontal="center" vertical="top" wrapText="1"/>
    </xf>
    <xf numFmtId="0" fontId="29" fillId="41" borderId="20" xfId="0" applyFont="1" applyFill="1" applyBorder="1" applyAlignment="1">
      <alignment horizontal="center" vertical="top" wrapText="1"/>
    </xf>
    <xf numFmtId="0" fontId="29" fillId="41" borderId="26" xfId="0" applyFont="1" applyFill="1" applyBorder="1" applyAlignment="1">
      <alignment horizontal="center" vertical="top" wrapText="1"/>
    </xf>
    <xf numFmtId="0" fontId="5" fillId="0" borderId="25" xfId="126" applyFont="1" applyFill="1" applyBorder="1" applyAlignment="1" applyProtection="1">
      <alignment horizontal="center" vertical="center" wrapText="1"/>
      <protection/>
    </xf>
    <xf numFmtId="0" fontId="5" fillId="0" borderId="22" xfId="126" applyFont="1" applyFill="1" applyBorder="1" applyAlignment="1" applyProtection="1">
      <alignment horizontal="center" vertical="center" wrapText="1"/>
      <protection/>
    </xf>
    <xf numFmtId="0" fontId="5" fillId="0" borderId="47" xfId="126" applyFont="1" applyFill="1" applyBorder="1" applyAlignment="1" applyProtection="1">
      <alignment horizontal="center" vertical="center" wrapText="1"/>
      <protection/>
    </xf>
    <xf numFmtId="0" fontId="5" fillId="0" borderId="25" xfId="126" applyFont="1" applyFill="1" applyBorder="1" applyAlignment="1" applyProtection="1">
      <alignment horizontal="left" vertical="center" wrapText="1" indent="1"/>
      <protection/>
    </xf>
    <xf numFmtId="0" fontId="5" fillId="0" borderId="22" xfId="126" applyFont="1" applyFill="1" applyBorder="1" applyAlignment="1" applyProtection="1">
      <alignment horizontal="left" vertical="center" wrapText="1" indent="1"/>
      <protection/>
    </xf>
    <xf numFmtId="174" fontId="5" fillId="0" borderId="22" xfId="126" applyNumberFormat="1" applyFont="1" applyFill="1" applyBorder="1" applyAlignment="1" applyProtection="1">
      <alignment horizontal="right" vertical="center" wrapText="1" indent="1"/>
      <protection/>
    </xf>
    <xf numFmtId="174" fontId="5" fillId="0" borderId="47" xfId="126" applyNumberFormat="1" applyFont="1" applyFill="1" applyBorder="1" applyAlignment="1" applyProtection="1">
      <alignment horizontal="right" vertical="center" wrapText="1" indent="1"/>
      <protection/>
    </xf>
    <xf numFmtId="49" fontId="2" fillId="0" borderId="42" xfId="126" applyNumberFormat="1" applyFont="1" applyFill="1" applyBorder="1" applyAlignment="1" applyProtection="1">
      <alignment horizontal="left" vertical="center" wrapText="1" indent="1"/>
      <protection/>
    </xf>
    <xf numFmtId="0" fontId="28" fillId="0" borderId="46" xfId="0" applyFont="1" applyBorder="1" applyAlignment="1" applyProtection="1">
      <alignment horizontal="left" wrapText="1" indent="1"/>
      <protection/>
    </xf>
    <xf numFmtId="174" fontId="2" fillId="0" borderId="46" xfId="126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68" xfId="126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20" xfId="126" applyNumberFormat="1" applyFont="1" applyFill="1" applyBorder="1" applyAlignment="1" applyProtection="1">
      <alignment horizontal="left" vertical="center" wrapText="1" indent="1"/>
      <protection/>
    </xf>
    <xf numFmtId="0" fontId="28" fillId="0" borderId="19" xfId="0" applyFont="1" applyBorder="1" applyAlignment="1" applyProtection="1">
      <alignment horizontal="left" wrapText="1" indent="1"/>
      <protection/>
    </xf>
    <xf numFmtId="174" fontId="2" fillId="0" borderId="19" xfId="126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51" xfId="126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21" xfId="126" applyNumberFormat="1" applyFont="1" applyFill="1" applyBorder="1" applyAlignment="1" applyProtection="1">
      <alignment horizontal="left" vertical="center" wrapText="1" indent="1"/>
      <protection/>
    </xf>
    <xf numFmtId="0" fontId="28" fillId="0" borderId="24" xfId="0" applyFont="1" applyBorder="1" applyAlignment="1" applyProtection="1">
      <alignment horizontal="left" wrapText="1" indent="1"/>
      <protection/>
    </xf>
    <xf numFmtId="174" fontId="2" fillId="0" borderId="24" xfId="126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69" xfId="12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2" xfId="0" applyFont="1" applyBorder="1" applyAlignment="1" applyProtection="1">
      <alignment horizontal="left" vertical="center" wrapText="1" indent="1"/>
      <protection/>
    </xf>
    <xf numFmtId="0" fontId="28" fillId="0" borderId="24" xfId="0" applyFont="1" applyBorder="1" applyAlignment="1" applyProtection="1">
      <alignment horizontal="left" vertical="center" wrapText="1" indent="1"/>
      <protection/>
    </xf>
    <xf numFmtId="174" fontId="5" fillId="0" borderId="22" xfId="126" applyNumberFormat="1" applyFont="1" applyFill="1" applyBorder="1" applyAlignment="1" applyProtection="1">
      <alignment horizontal="right" vertical="center" wrapText="1" indent="1"/>
      <protection/>
    </xf>
    <xf numFmtId="174" fontId="2" fillId="0" borderId="46" xfId="126" applyNumberFormat="1" applyFont="1" applyFill="1" applyBorder="1" applyAlignment="1" applyProtection="1">
      <alignment horizontal="right" vertical="center" wrapText="1" indent="1"/>
      <protection/>
    </xf>
    <xf numFmtId="174" fontId="2" fillId="0" borderId="68" xfId="126" applyNumberFormat="1" applyFont="1" applyFill="1" applyBorder="1" applyAlignment="1" applyProtection="1">
      <alignment horizontal="right" vertical="center" wrapText="1" indent="1"/>
      <protection/>
    </xf>
    <xf numFmtId="174" fontId="2" fillId="0" borderId="19" xfId="126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51" xfId="126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24" xfId="126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69" xfId="126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46" xfId="126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68" xfId="126" applyNumberFormat="1" applyFont="1" applyFill="1" applyBorder="1" applyAlignment="1" applyProtection="1">
      <alignment horizontal="right" vertical="center" wrapText="1" indent="1"/>
      <protection locked="0"/>
    </xf>
    <xf numFmtId="174" fontId="5" fillId="0" borderId="47" xfId="126" applyNumberFormat="1" applyFont="1" applyFill="1" applyBorder="1" applyAlignment="1" applyProtection="1">
      <alignment horizontal="right" vertical="center" wrapText="1" indent="1"/>
      <protection/>
    </xf>
    <xf numFmtId="0" fontId="29" fillId="0" borderId="25" xfId="0" applyFont="1" applyBorder="1" applyAlignment="1" applyProtection="1">
      <alignment vertical="center" wrapText="1"/>
      <protection/>
    </xf>
    <xf numFmtId="0" fontId="28" fillId="0" borderId="24" xfId="0" applyFont="1" applyBorder="1" applyAlignment="1" applyProtection="1">
      <alignment vertical="center" wrapText="1"/>
      <protection/>
    </xf>
    <xf numFmtId="174" fontId="5" fillId="0" borderId="23" xfId="126" applyNumberFormat="1" applyFont="1" applyFill="1" applyBorder="1" applyAlignment="1" applyProtection="1">
      <alignment horizontal="right" vertical="center" wrapText="1" indent="1"/>
      <protection/>
    </xf>
    <xf numFmtId="0" fontId="28" fillId="0" borderId="42" xfId="0" applyFont="1" applyBorder="1" applyAlignment="1" applyProtection="1">
      <alignment wrapText="1"/>
      <protection/>
    </xf>
    <xf numFmtId="0" fontId="28" fillId="0" borderId="20" xfId="0" applyFont="1" applyBorder="1" applyAlignment="1" applyProtection="1">
      <alignment wrapText="1"/>
      <protection/>
    </xf>
    <xf numFmtId="0" fontId="28" fillId="0" borderId="21" xfId="0" applyFont="1" applyBorder="1" applyAlignment="1" applyProtection="1">
      <alignment vertical="center" wrapText="1"/>
      <protection/>
    </xf>
    <xf numFmtId="174" fontId="5" fillId="0" borderId="22" xfId="126" applyNumberFormat="1" applyFont="1" applyFill="1" applyBorder="1" applyAlignment="1" applyProtection="1">
      <alignment horizontal="right" vertical="center" wrapText="1" indent="1"/>
      <protection locked="0"/>
    </xf>
    <xf numFmtId="174" fontId="5" fillId="0" borderId="47" xfId="12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2" xfId="0" applyFont="1" applyBorder="1" applyAlignment="1" applyProtection="1">
      <alignment vertical="center" wrapText="1"/>
      <protection/>
    </xf>
    <xf numFmtId="0" fontId="29" fillId="0" borderId="76" xfId="0" applyFont="1" applyBorder="1" applyAlignment="1" applyProtection="1">
      <alignment vertical="center" wrapText="1"/>
      <protection/>
    </xf>
    <xf numFmtId="0" fontId="29" fillId="0" borderId="70" xfId="0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horizontal="left" vertical="center" wrapText="1" indent="1"/>
      <protection/>
    </xf>
    <xf numFmtId="174" fontId="5" fillId="0" borderId="0" xfId="126" applyNumberFormat="1" applyFont="1" applyFill="1" applyBorder="1" applyAlignment="1" applyProtection="1">
      <alignment horizontal="right" vertical="center" wrapText="1" indent="1"/>
      <protection/>
    </xf>
    <xf numFmtId="174" fontId="53" fillId="0" borderId="28" xfId="126" applyNumberFormat="1" applyFont="1" applyFill="1" applyBorder="1" applyAlignment="1" applyProtection="1">
      <alignment/>
      <protection/>
    </xf>
    <xf numFmtId="0" fontId="53" fillId="0" borderId="28" xfId="0" applyFont="1" applyFill="1" applyBorder="1" applyAlignment="1" applyProtection="1">
      <alignment horizontal="right"/>
      <protection/>
    </xf>
    <xf numFmtId="0" fontId="5" fillId="0" borderId="23" xfId="126" applyFont="1" applyFill="1" applyBorder="1" applyAlignment="1" applyProtection="1">
      <alignment horizontal="center" vertical="center" wrapText="1"/>
      <protection/>
    </xf>
    <xf numFmtId="174" fontId="5" fillId="0" borderId="66" xfId="126" applyNumberFormat="1" applyFont="1" applyFill="1" applyBorder="1" applyAlignment="1" applyProtection="1">
      <alignment horizontal="right" vertical="center" wrapText="1" indent="1"/>
      <protection/>
    </xf>
    <xf numFmtId="174" fontId="5" fillId="0" borderId="85" xfId="126" applyNumberFormat="1" applyFont="1" applyFill="1" applyBorder="1" applyAlignment="1" applyProtection="1">
      <alignment horizontal="right" vertical="center" wrapText="1" indent="1"/>
      <protection/>
    </xf>
    <xf numFmtId="0" fontId="2" fillId="0" borderId="19" xfId="126" applyFont="1" applyFill="1" applyBorder="1" applyAlignment="1" applyProtection="1">
      <alignment horizontal="left" vertical="center" wrapText="1" indent="1"/>
      <protection/>
    </xf>
    <xf numFmtId="0" fontId="2" fillId="0" borderId="67" xfId="126" applyFont="1" applyFill="1" applyBorder="1" applyAlignment="1" applyProtection="1">
      <alignment horizontal="left" vertical="center" wrapText="1" indent="1"/>
      <protection/>
    </xf>
    <xf numFmtId="0" fontId="2" fillId="0" borderId="0" xfId="126" applyFont="1" applyFill="1" applyBorder="1" applyAlignment="1" applyProtection="1">
      <alignment horizontal="left" vertical="center" wrapText="1" indent="1"/>
      <protection/>
    </xf>
    <xf numFmtId="0" fontId="2" fillId="0" borderId="19" xfId="126" applyFont="1" applyFill="1" applyBorder="1" applyAlignment="1" applyProtection="1">
      <alignment horizontal="left" indent="6"/>
      <protection/>
    </xf>
    <xf numFmtId="0" fontId="2" fillId="0" borderId="19" xfId="126" applyFont="1" applyFill="1" applyBorder="1" applyAlignment="1" applyProtection="1">
      <alignment horizontal="left" vertical="center" wrapText="1" indent="6"/>
      <protection/>
    </xf>
    <xf numFmtId="49" fontId="2" fillId="0" borderId="73" xfId="126" applyNumberFormat="1" applyFont="1" applyFill="1" applyBorder="1" applyAlignment="1" applyProtection="1">
      <alignment horizontal="left" vertical="center" wrapText="1" indent="1"/>
      <protection/>
    </xf>
    <xf numFmtId="0" fontId="2" fillId="0" borderId="24" xfId="126" applyFont="1" applyFill="1" applyBorder="1" applyAlignment="1" applyProtection="1">
      <alignment horizontal="left" vertical="center" wrapText="1" indent="6"/>
      <protection/>
    </xf>
    <xf numFmtId="49" fontId="2" fillId="0" borderId="63" xfId="126" applyNumberFormat="1" applyFont="1" applyFill="1" applyBorder="1" applyAlignment="1" applyProtection="1">
      <alignment horizontal="left" vertical="center" wrapText="1" indent="1"/>
      <protection/>
    </xf>
    <xf numFmtId="0" fontId="2" fillId="0" borderId="49" xfId="126" applyFont="1" applyFill="1" applyBorder="1" applyAlignment="1" applyProtection="1">
      <alignment horizontal="left" vertical="center" wrapText="1" indent="6"/>
      <protection/>
    </xf>
    <xf numFmtId="174" fontId="2" fillId="0" borderId="49" xfId="126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78" xfId="126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126" applyFont="1" applyFill="1" applyBorder="1" applyAlignment="1" applyProtection="1">
      <alignment vertical="center" wrapText="1"/>
      <protection/>
    </xf>
    <xf numFmtId="0" fontId="2" fillId="0" borderId="24" xfId="126" applyFont="1" applyFill="1" applyBorder="1" applyAlignment="1" applyProtection="1">
      <alignment horizontal="left" vertical="center" wrapText="1" indent="1"/>
      <protection/>
    </xf>
    <xf numFmtId="0" fontId="28" fillId="0" borderId="19" xfId="0" applyFont="1" applyBorder="1" applyAlignment="1" applyProtection="1">
      <alignment horizontal="left" vertical="center" wrapText="1" indent="1"/>
      <protection/>
    </xf>
    <xf numFmtId="0" fontId="2" fillId="0" borderId="46" xfId="126" applyFont="1" applyFill="1" applyBorder="1" applyAlignment="1" applyProtection="1">
      <alignment horizontal="left" vertical="center" wrapText="1" indent="6"/>
      <protection/>
    </xf>
    <xf numFmtId="0" fontId="5" fillId="0" borderId="22" xfId="126" applyFont="1" applyFill="1" applyBorder="1" applyAlignment="1" applyProtection="1">
      <alignment horizontal="left" vertical="center" wrapText="1" indent="1"/>
      <protection/>
    </xf>
    <xf numFmtId="0" fontId="2" fillId="0" borderId="46" xfId="126" applyFont="1" applyFill="1" applyBorder="1" applyAlignment="1" applyProtection="1">
      <alignment horizontal="left" vertical="center" wrapText="1" indent="1"/>
      <protection/>
    </xf>
    <xf numFmtId="0" fontId="2" fillId="0" borderId="27" xfId="126" applyFont="1" applyFill="1" applyBorder="1" applyAlignment="1" applyProtection="1">
      <alignment horizontal="left" vertical="center" wrapText="1" indent="1"/>
      <protection/>
    </xf>
    <xf numFmtId="174" fontId="5" fillId="0" borderId="23" xfId="126" applyNumberFormat="1" applyFont="1" applyFill="1" applyBorder="1" applyAlignment="1" applyProtection="1">
      <alignment horizontal="right" vertical="center" wrapText="1" indent="1"/>
      <protection/>
    </xf>
    <xf numFmtId="174" fontId="29" fillId="0" borderId="22" xfId="0" applyNumberFormat="1" applyFont="1" applyBorder="1" applyAlignment="1" applyProtection="1">
      <alignment horizontal="right" vertical="center" wrapText="1" indent="1"/>
      <protection/>
    </xf>
    <xf numFmtId="174" fontId="29" fillId="0" borderId="47" xfId="0" applyNumberFormat="1" applyFont="1" applyBorder="1" applyAlignment="1" applyProtection="1">
      <alignment horizontal="right" vertical="center" wrapText="1" indent="1"/>
      <protection/>
    </xf>
    <xf numFmtId="174" fontId="29" fillId="0" borderId="22" xfId="0" applyNumberFormat="1" applyFont="1" applyBorder="1" applyAlignment="1" applyProtection="1" quotePrefix="1">
      <alignment horizontal="right" vertical="center" wrapText="1" indent="1"/>
      <protection/>
    </xf>
    <xf numFmtId="174" fontId="29" fillId="0" borderId="47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76" xfId="0" applyFont="1" applyBorder="1" applyAlignment="1" applyProtection="1">
      <alignment horizontal="left" vertical="center" wrapText="1" indent="1"/>
      <protection/>
    </xf>
    <xf numFmtId="0" fontId="29" fillId="0" borderId="70" xfId="0" applyFont="1" applyBorder="1" applyAlignment="1" applyProtection="1">
      <alignment horizontal="left" vertical="center" wrapText="1" indent="1"/>
      <protection/>
    </xf>
    <xf numFmtId="174" fontId="53" fillId="0" borderId="28" xfId="126" applyNumberFormat="1" applyFont="1" applyFill="1" applyBorder="1" applyAlignment="1" applyProtection="1">
      <alignment horizontal="left" vertical="center"/>
      <protection/>
    </xf>
    <xf numFmtId="0" fontId="53" fillId="0" borderId="28" xfId="0" applyFont="1" applyFill="1" applyBorder="1" applyAlignment="1" applyProtection="1">
      <alignment horizontal="right" vertical="center"/>
      <protection/>
    </xf>
    <xf numFmtId="0" fontId="46" fillId="0" borderId="19" xfId="0" applyFont="1" applyBorder="1" applyAlignment="1">
      <alignment/>
    </xf>
    <xf numFmtId="191" fontId="46" fillId="0" borderId="19" xfId="0" applyNumberFormat="1" applyFont="1" applyBorder="1" applyAlignment="1">
      <alignment/>
    </xf>
    <xf numFmtId="0" fontId="47" fillId="0" borderId="19" xfId="0" applyFont="1" applyBorder="1" applyAlignment="1">
      <alignment wrapText="1"/>
    </xf>
    <xf numFmtId="191" fontId="0" fillId="0" borderId="19" xfId="132" applyNumberFormat="1" applyFont="1" applyBorder="1" applyAlignment="1">
      <alignment/>
    </xf>
    <xf numFmtId="174" fontId="8" fillId="0" borderId="0" xfId="0" applyNumberFormat="1" applyFont="1" applyFill="1" applyAlignment="1">
      <alignment textRotation="180" wrapText="1"/>
    </xf>
    <xf numFmtId="176" fontId="54" fillId="0" borderId="26" xfId="86" applyNumberFormat="1" applyFont="1" applyBorder="1" applyAlignment="1">
      <alignment horizontal="right"/>
    </xf>
    <xf numFmtId="0" fontId="43" fillId="42" borderId="86" xfId="124" applyFont="1" applyFill="1" applyBorder="1" applyAlignment="1">
      <alignment horizontal="center" vertical="center"/>
      <protection/>
    </xf>
    <xf numFmtId="0" fontId="43" fillId="42" borderId="87" xfId="124" applyFont="1" applyFill="1" applyBorder="1" applyAlignment="1">
      <alignment horizontal="center" vertical="center"/>
      <protection/>
    </xf>
    <xf numFmtId="0" fontId="43" fillId="42" borderId="88" xfId="124" applyFont="1" applyFill="1" applyBorder="1" applyAlignment="1">
      <alignment horizontal="center" vertical="center"/>
      <protection/>
    </xf>
    <xf numFmtId="0" fontId="54" fillId="0" borderId="71" xfId="124" applyFont="1" applyBorder="1" applyAlignment="1">
      <alignment wrapText="1"/>
      <protection/>
    </xf>
    <xf numFmtId="0" fontId="54" fillId="0" borderId="46" xfId="124" applyFont="1" applyBorder="1" applyAlignment="1">
      <alignment horizontal="right"/>
      <protection/>
    </xf>
    <xf numFmtId="0" fontId="54" fillId="0" borderId="64" xfId="124" applyFont="1" applyBorder="1" applyAlignment="1">
      <alignment horizontal="right"/>
      <protection/>
    </xf>
    <xf numFmtId="0" fontId="54" fillId="0" borderId="89" xfId="124" applyFont="1" applyBorder="1" applyAlignment="1">
      <alignment wrapText="1"/>
      <protection/>
    </xf>
    <xf numFmtId="0" fontId="54" fillId="0" borderId="19" xfId="124" applyFont="1" applyBorder="1" applyAlignment="1">
      <alignment horizontal="right"/>
      <protection/>
    </xf>
    <xf numFmtId="0" fontId="54" fillId="0" borderId="26" xfId="124" applyFont="1" applyBorder="1" applyAlignment="1">
      <alignment horizontal="right"/>
      <protection/>
    </xf>
    <xf numFmtId="0" fontId="54" fillId="0" borderId="90" xfId="124" applyFont="1" applyBorder="1" applyAlignment="1">
      <alignment vertical="center"/>
      <protection/>
    </xf>
    <xf numFmtId="0" fontId="54" fillId="0" borderId="20" xfId="124" applyFont="1" applyBorder="1" applyAlignment="1">
      <alignment vertical="center" wrapText="1"/>
      <protection/>
    </xf>
    <xf numFmtId="0" fontId="54" fillId="0" borderId="63" xfId="124" applyFont="1" applyBorder="1">
      <alignment/>
      <protection/>
    </xf>
    <xf numFmtId="0" fontId="54" fillId="0" borderId="49" xfId="124" applyFont="1" applyBorder="1" applyAlignment="1">
      <alignment horizontal="right"/>
      <protection/>
    </xf>
    <xf numFmtId="0" fontId="54" fillId="0" borderId="58" xfId="124" applyFont="1" applyBorder="1" applyAlignment="1">
      <alignment horizontal="right"/>
      <protection/>
    </xf>
    <xf numFmtId="0" fontId="43" fillId="42" borderId="87" xfId="124" applyFont="1" applyFill="1" applyBorder="1" applyAlignment="1">
      <alignment horizontal="center" vertical="center" wrapText="1"/>
      <protection/>
    </xf>
    <xf numFmtId="0" fontId="54" fillId="0" borderId="90" xfId="124" applyFont="1" applyBorder="1" applyAlignment="1">
      <alignment vertical="center" wrapText="1"/>
      <protection/>
    </xf>
    <xf numFmtId="0" fontId="54" fillId="0" borderId="19" xfId="124" applyFont="1" applyBorder="1" applyAlignment="1">
      <alignment horizontal="center"/>
      <protection/>
    </xf>
    <xf numFmtId="0" fontId="34" fillId="0" borderId="25" xfId="0" applyFont="1" applyBorder="1" applyAlignment="1" applyProtection="1">
      <alignment horizontal="center" vertical="center" wrapText="1"/>
      <protection/>
    </xf>
    <xf numFmtId="0" fontId="54" fillId="0" borderId="20" xfId="118" applyFont="1" applyBorder="1" applyAlignment="1">
      <alignment wrapText="1"/>
      <protection/>
    </xf>
    <xf numFmtId="176" fontId="73" fillId="0" borderId="19" xfId="84" applyNumberFormat="1" applyFont="1" applyBorder="1" applyAlignment="1">
      <alignment/>
    </xf>
    <xf numFmtId="0" fontId="74" fillId="0" borderId="20" xfId="118" applyFont="1" applyBorder="1" applyAlignment="1">
      <alignment wrapText="1"/>
      <protection/>
    </xf>
    <xf numFmtId="176" fontId="74" fillId="0" borderId="19" xfId="84" applyNumberFormat="1" applyFont="1" applyBorder="1" applyAlignment="1">
      <alignment/>
    </xf>
    <xf numFmtId="176" fontId="73" fillId="0" borderId="19" xfId="84" applyNumberFormat="1" applyFont="1" applyFill="1" applyBorder="1" applyAlignment="1">
      <alignment/>
    </xf>
    <xf numFmtId="176" fontId="73" fillId="37" borderId="19" xfId="84" applyNumberFormat="1" applyFont="1" applyFill="1" applyBorder="1" applyAlignment="1">
      <alignment/>
    </xf>
    <xf numFmtId="0" fontId="28" fillId="0" borderId="0" xfId="128" applyFill="1" applyAlignment="1" applyProtection="1">
      <alignment wrapText="1"/>
      <protection/>
    </xf>
    <xf numFmtId="0" fontId="30" fillId="0" borderId="22" xfId="128" applyFont="1" applyFill="1" applyBorder="1" applyAlignment="1" applyProtection="1">
      <alignment horizontal="center" wrapText="1"/>
      <protection/>
    </xf>
    <xf numFmtId="0" fontId="20" fillId="0" borderId="22" xfId="127" applyFont="1" applyFill="1" applyBorder="1" applyAlignment="1" applyProtection="1">
      <alignment horizontal="center" vertical="center" wrapText="1"/>
      <protection/>
    </xf>
    <xf numFmtId="0" fontId="15" fillId="0" borderId="91" xfId="128" applyFont="1" applyFill="1" applyBorder="1" applyAlignment="1">
      <alignment horizontal="center" vertical="center" wrapText="1"/>
      <protection/>
    </xf>
    <xf numFmtId="0" fontId="20" fillId="0" borderId="61" xfId="127" applyFont="1" applyFill="1" applyBorder="1" applyAlignment="1" applyProtection="1">
      <alignment horizontal="center" vertical="center" wrapText="1"/>
      <protection/>
    </xf>
    <xf numFmtId="0" fontId="20" fillId="43" borderId="30" xfId="127" applyFont="1" applyFill="1" applyBorder="1" applyAlignment="1" applyProtection="1">
      <alignment horizontal="center" vertical="center" wrapText="1"/>
      <protection/>
    </xf>
    <xf numFmtId="0" fontId="50" fillId="0" borderId="20" xfId="128" applyFont="1" applyFill="1" applyBorder="1" applyAlignment="1" applyProtection="1">
      <alignment vertical="center" wrapText="1"/>
      <protection/>
    </xf>
    <xf numFmtId="0" fontId="32" fillId="0" borderId="22" xfId="127" applyFont="1" applyFill="1" applyBorder="1" applyAlignment="1" applyProtection="1">
      <alignment horizontal="center" vertical="center" wrapText="1"/>
      <protection/>
    </xf>
    <xf numFmtId="0" fontId="72" fillId="0" borderId="22" xfId="128" applyFont="1" applyFill="1" applyBorder="1" applyAlignment="1" applyProtection="1">
      <alignment horizontal="center" wrapText="1"/>
      <protection/>
    </xf>
    <xf numFmtId="0" fontId="32" fillId="0" borderId="61" xfId="127" applyFont="1" applyFill="1" applyBorder="1" applyAlignment="1" applyProtection="1">
      <alignment horizontal="center" vertical="center" wrapText="1"/>
      <protection/>
    </xf>
    <xf numFmtId="0" fontId="32" fillId="43" borderId="30" xfId="127" applyFont="1" applyFill="1" applyBorder="1" applyAlignment="1" applyProtection="1">
      <alignment horizontal="center" vertical="center" wrapText="1"/>
      <protection/>
    </xf>
    <xf numFmtId="49" fontId="5" fillId="0" borderId="63" xfId="127" applyNumberFormat="1" applyFont="1" applyFill="1" applyBorder="1" applyAlignment="1" applyProtection="1">
      <alignment horizontal="center" vertical="center" wrapText="1"/>
      <protection/>
    </xf>
    <xf numFmtId="49" fontId="5" fillId="0" borderId="49" xfId="127" applyNumberFormat="1" applyFont="1" applyFill="1" applyBorder="1" applyAlignment="1" applyProtection="1">
      <alignment horizontal="center" vertical="center"/>
      <protection/>
    </xf>
    <xf numFmtId="49" fontId="5" fillId="0" borderId="58" xfId="127" applyNumberFormat="1" applyFont="1" applyFill="1" applyBorder="1" applyAlignment="1" applyProtection="1">
      <alignment horizontal="center" vertical="center"/>
      <protection/>
    </xf>
    <xf numFmtId="49" fontId="5" fillId="0" borderId="57" xfId="127" applyNumberFormat="1" applyFont="1" applyFill="1" applyBorder="1" applyAlignment="1" applyProtection="1">
      <alignment horizontal="center" vertical="center"/>
      <protection/>
    </xf>
    <xf numFmtId="49" fontId="5" fillId="43" borderId="44" xfId="127" applyNumberFormat="1" applyFont="1" applyFill="1" applyBorder="1" applyAlignment="1" applyProtection="1">
      <alignment horizontal="center" vertical="center"/>
      <protection/>
    </xf>
    <xf numFmtId="0" fontId="29" fillId="0" borderId="20" xfId="128" applyFont="1" applyFill="1" applyBorder="1" applyAlignment="1" applyProtection="1">
      <alignment vertical="center" wrapText="1"/>
      <protection/>
    </xf>
    <xf numFmtId="183" fontId="2" fillId="0" borderId="46" xfId="127" applyNumberFormat="1" applyFont="1" applyFill="1" applyBorder="1" applyAlignment="1" applyProtection="1">
      <alignment horizontal="center" vertical="center"/>
      <protection/>
    </xf>
    <xf numFmtId="184" fontId="2" fillId="0" borderId="64" xfId="127" applyNumberFormat="1" applyFont="1" applyFill="1" applyBorder="1" applyAlignment="1" applyProtection="1">
      <alignment vertical="center"/>
      <protection locked="0"/>
    </xf>
    <xf numFmtId="184" fontId="2" fillId="0" borderId="92" xfId="127" applyNumberFormat="1" applyFont="1" applyFill="1" applyBorder="1" applyAlignment="1" applyProtection="1">
      <alignment vertical="center"/>
      <protection locked="0"/>
    </xf>
    <xf numFmtId="184" fontId="2" fillId="43" borderId="43" xfId="127" applyNumberFormat="1" applyFont="1" applyFill="1" applyBorder="1" applyAlignment="1" applyProtection="1">
      <alignment vertical="center"/>
      <protection locked="0"/>
    </xf>
    <xf numFmtId="183" fontId="2" fillId="0" borderId="19" xfId="127" applyNumberFormat="1" applyFont="1" applyFill="1" applyBorder="1" applyAlignment="1" applyProtection="1">
      <alignment horizontal="center" vertical="center"/>
      <protection/>
    </xf>
    <xf numFmtId="184" fontId="2" fillId="0" borderId="26" xfId="127" applyNumberFormat="1" applyFont="1" applyFill="1" applyBorder="1" applyAlignment="1" applyProtection="1">
      <alignment vertical="center"/>
      <protection locked="0"/>
    </xf>
    <xf numFmtId="184" fontId="2" fillId="0" borderId="29" xfId="127" applyNumberFormat="1" applyFont="1" applyFill="1" applyBorder="1" applyAlignment="1" applyProtection="1">
      <alignment vertical="center"/>
      <protection locked="0"/>
    </xf>
    <xf numFmtId="184" fontId="5" fillId="0" borderId="26" xfId="127" applyNumberFormat="1" applyFont="1" applyFill="1" applyBorder="1" applyAlignment="1" applyProtection="1">
      <alignment vertical="center"/>
      <protection/>
    </xf>
    <xf numFmtId="184" fontId="5" fillId="0" borderId="29" xfId="127" applyNumberFormat="1" applyFont="1" applyFill="1" applyBorder="1" applyAlignment="1" applyProtection="1">
      <alignment vertical="center"/>
      <protection/>
    </xf>
    <xf numFmtId="184" fontId="5" fillId="43" borderId="43" xfId="127" applyNumberFormat="1" applyFont="1" applyFill="1" applyBorder="1" applyAlignment="1" applyProtection="1">
      <alignment vertical="center"/>
      <protection locked="0"/>
    </xf>
    <xf numFmtId="184" fontId="2" fillId="0" borderId="26" xfId="127" applyNumberFormat="1" applyFont="1" applyFill="1" applyBorder="1" applyAlignment="1" applyProtection="1">
      <alignment vertical="center"/>
      <protection locked="0"/>
    </xf>
    <xf numFmtId="184" fontId="2" fillId="0" borderId="29" xfId="127" applyNumberFormat="1" applyFont="1" applyFill="1" applyBorder="1" applyAlignment="1" applyProtection="1">
      <alignment vertical="center"/>
      <protection locked="0"/>
    </xf>
    <xf numFmtId="184" fontId="5" fillId="0" borderId="26" xfId="127" applyNumberFormat="1" applyFont="1" applyFill="1" applyBorder="1" applyAlignment="1" applyProtection="1">
      <alignment vertical="center"/>
      <protection locked="0"/>
    </xf>
    <xf numFmtId="184" fontId="5" fillId="0" borderId="29" xfId="127" applyNumberFormat="1" applyFont="1" applyFill="1" applyBorder="1" applyAlignment="1" applyProtection="1">
      <alignment vertical="center"/>
      <protection locked="0"/>
    </xf>
    <xf numFmtId="0" fontId="5" fillId="0" borderId="63" xfId="127" applyFont="1" applyFill="1" applyBorder="1" applyAlignment="1" applyProtection="1">
      <alignment horizontal="left" vertical="center" wrapText="1"/>
      <protection/>
    </xf>
    <xf numFmtId="183" fontId="2" fillId="0" borderId="49" xfId="127" applyNumberFormat="1" applyFont="1" applyFill="1" applyBorder="1" applyAlignment="1" applyProtection="1">
      <alignment horizontal="center" vertical="center"/>
      <protection/>
    </xf>
    <xf numFmtId="184" fontId="5" fillId="0" borderId="58" xfId="127" applyNumberFormat="1" applyFont="1" applyFill="1" applyBorder="1" applyAlignment="1" applyProtection="1">
      <alignment vertical="center"/>
      <protection/>
    </xf>
    <xf numFmtId="184" fontId="5" fillId="0" borderId="57" xfId="127" applyNumberFormat="1" applyFont="1" applyFill="1" applyBorder="1" applyAlignment="1" applyProtection="1">
      <alignment vertical="center"/>
      <protection/>
    </xf>
    <xf numFmtId="0" fontId="27" fillId="43" borderId="58" xfId="128" applyFont="1" applyFill="1" applyBorder="1" applyAlignment="1" applyProtection="1">
      <alignment horizontal="center" vertical="center" wrapText="1"/>
      <protection/>
    </xf>
    <xf numFmtId="182" fontId="17" fillId="43" borderId="26" xfId="128" applyNumberFormat="1" applyFont="1" applyFill="1" applyBorder="1" applyAlignment="1" applyProtection="1">
      <alignment horizontal="right" vertical="center" wrapText="1"/>
      <protection locked="0"/>
    </xf>
    <xf numFmtId="182" fontId="17" fillId="0" borderId="75" xfId="128" applyNumberFormat="1" applyFont="1" applyFill="1" applyBorder="1" applyAlignment="1" applyProtection="1">
      <alignment horizontal="right" vertical="center" wrapText="1"/>
      <protection locked="0"/>
    </xf>
    <xf numFmtId="182" fontId="17" fillId="0" borderId="26" xfId="128" applyNumberFormat="1" applyFont="1" applyFill="1" applyBorder="1" applyAlignment="1" applyProtection="1">
      <alignment horizontal="right" vertical="center" wrapText="1"/>
      <protection/>
    </xf>
    <xf numFmtId="182" fontId="26" fillId="0" borderId="26" xfId="128" applyNumberFormat="1" applyFont="1" applyFill="1" applyBorder="1" applyAlignment="1" applyProtection="1">
      <alignment horizontal="right" vertical="center" wrapText="1"/>
      <protection locked="0"/>
    </xf>
    <xf numFmtId="182" fontId="27" fillId="0" borderId="26" xfId="128" applyNumberFormat="1" applyFont="1" applyFill="1" applyBorder="1" applyAlignment="1" applyProtection="1">
      <alignment horizontal="right" vertical="center" wrapText="1"/>
      <protection/>
    </xf>
    <xf numFmtId="182" fontId="17" fillId="0" borderId="26" xfId="128" applyNumberFormat="1" applyFont="1" applyFill="1" applyBorder="1" applyAlignment="1" applyProtection="1">
      <alignment horizontal="right" vertical="center" wrapText="1"/>
      <protection locked="0"/>
    </xf>
    <xf numFmtId="182" fontId="27" fillId="0" borderId="26" xfId="128" applyNumberFormat="1" applyFont="1" applyFill="1" applyBorder="1" applyAlignment="1" applyProtection="1">
      <alignment horizontal="right" vertical="center" wrapText="1"/>
      <protection locked="0"/>
    </xf>
    <xf numFmtId="182" fontId="50" fillId="0" borderId="26" xfId="128" applyNumberFormat="1" applyFont="1" applyFill="1" applyBorder="1" applyAlignment="1" applyProtection="1">
      <alignment horizontal="right" vertical="center" wrapText="1"/>
      <protection/>
    </xf>
    <xf numFmtId="182" fontId="50" fillId="0" borderId="26" xfId="128" applyNumberFormat="1" applyFont="1" applyFill="1" applyBorder="1" applyAlignment="1" applyProtection="1">
      <alignment horizontal="right" vertical="center" wrapText="1"/>
      <protection locked="0"/>
    </xf>
    <xf numFmtId="0" fontId="50" fillId="43" borderId="63" xfId="128" applyFont="1" applyFill="1" applyBorder="1" applyAlignment="1" applyProtection="1">
      <alignment vertical="center" wrapText="1"/>
      <protection/>
    </xf>
    <xf numFmtId="182" fontId="50" fillId="43" borderId="58" xfId="128" applyNumberFormat="1" applyFont="1" applyFill="1" applyBorder="1" applyAlignment="1" applyProtection="1">
      <alignment horizontal="right" vertical="center" wrapText="1"/>
      <protection/>
    </xf>
    <xf numFmtId="0" fontId="37" fillId="0" borderId="61" xfId="128" applyFont="1" applyFill="1" applyBorder="1" applyAlignment="1" applyProtection="1">
      <alignment wrapText="1"/>
      <protection/>
    </xf>
    <xf numFmtId="0" fontId="27" fillId="0" borderId="57" xfId="128" applyFont="1" applyFill="1" applyBorder="1" applyAlignment="1" applyProtection="1">
      <alignment horizontal="center" vertical="center" wrapText="1"/>
      <protection/>
    </xf>
    <xf numFmtId="183" fontId="13" fillId="0" borderId="53" xfId="127" applyNumberFormat="1" applyFont="1" applyFill="1" applyBorder="1" applyAlignment="1" applyProtection="1">
      <alignment horizontal="center" vertical="center"/>
      <protection/>
    </xf>
    <xf numFmtId="183" fontId="13" fillId="0" borderId="29" xfId="127" applyNumberFormat="1" applyFont="1" applyFill="1" applyBorder="1" applyAlignment="1" applyProtection="1">
      <alignment horizontal="center" vertical="center"/>
      <protection/>
    </xf>
    <xf numFmtId="183" fontId="12" fillId="0" borderId="29" xfId="127" applyNumberFormat="1" applyFont="1" applyFill="1" applyBorder="1" applyAlignment="1" applyProtection="1">
      <alignment horizontal="center" vertical="center"/>
      <protection/>
    </xf>
    <xf numFmtId="183" fontId="3" fillId="0" borderId="29" xfId="127" applyNumberFormat="1" applyFont="1" applyFill="1" applyBorder="1" applyAlignment="1" applyProtection="1">
      <alignment horizontal="center" vertical="center"/>
      <protection/>
    </xf>
    <xf numFmtId="183" fontId="3" fillId="43" borderId="57" xfId="127" applyNumberFormat="1" applyFont="1" applyFill="1" applyBorder="1" applyAlignment="1" applyProtection="1">
      <alignment horizontal="center" vertical="center"/>
      <protection/>
    </xf>
    <xf numFmtId="182" fontId="17" fillId="0" borderId="59" xfId="128" applyNumberFormat="1" applyFont="1" applyFill="1" applyBorder="1" applyAlignment="1" applyProtection="1">
      <alignment horizontal="right" vertical="center" wrapText="1"/>
      <protection locked="0"/>
    </xf>
    <xf numFmtId="182" fontId="17" fillId="0" borderId="20" xfId="128" applyNumberFormat="1" applyFont="1" applyFill="1" applyBorder="1" applyAlignment="1" applyProtection="1">
      <alignment horizontal="right" vertical="center" wrapText="1"/>
      <protection/>
    </xf>
    <xf numFmtId="182" fontId="27" fillId="0" borderId="20" xfId="128" applyNumberFormat="1" applyFont="1" applyFill="1" applyBorder="1" applyAlignment="1" applyProtection="1">
      <alignment horizontal="right" vertical="center" wrapText="1"/>
      <protection/>
    </xf>
    <xf numFmtId="182" fontId="26" fillId="0" borderId="20" xfId="128" applyNumberFormat="1" applyFont="1" applyFill="1" applyBorder="1" applyAlignment="1" applyProtection="1">
      <alignment horizontal="right" vertical="center" wrapText="1"/>
      <protection locked="0"/>
    </xf>
    <xf numFmtId="182" fontId="16" fillId="0" borderId="20" xfId="128" applyNumberFormat="1" applyFont="1" applyFill="1" applyBorder="1" applyAlignment="1" applyProtection="1">
      <alignment horizontal="right" vertical="center" wrapText="1"/>
      <protection locked="0"/>
    </xf>
    <xf numFmtId="182" fontId="27" fillId="0" borderId="20" xfId="128" applyNumberFormat="1" applyFont="1" applyFill="1" applyBorder="1" applyAlignment="1" applyProtection="1">
      <alignment horizontal="right" vertical="center" wrapText="1"/>
      <protection locked="0"/>
    </xf>
    <xf numFmtId="182" fontId="50" fillId="0" borderId="20" xfId="128" applyNumberFormat="1" applyFont="1" applyFill="1" applyBorder="1" applyAlignment="1" applyProtection="1">
      <alignment horizontal="right" vertical="center" wrapText="1"/>
      <protection/>
    </xf>
    <xf numFmtId="182" fontId="17" fillId="0" borderId="20" xfId="128" applyNumberFormat="1" applyFont="1" applyFill="1" applyBorder="1" applyAlignment="1" applyProtection="1">
      <alignment horizontal="right" vertical="center" wrapText="1"/>
      <protection locked="0"/>
    </xf>
    <xf numFmtId="182" fontId="50" fillId="0" borderId="20" xfId="128" applyNumberFormat="1" applyFont="1" applyFill="1" applyBorder="1" applyAlignment="1" applyProtection="1">
      <alignment horizontal="right" vertical="center" wrapText="1"/>
      <protection locked="0"/>
    </xf>
    <xf numFmtId="182" fontId="50" fillId="43" borderId="63" xfId="128" applyNumberFormat="1" applyFont="1" applyFill="1" applyBorder="1" applyAlignment="1" applyProtection="1">
      <alignment horizontal="right" vertical="center" wrapText="1"/>
      <protection/>
    </xf>
    <xf numFmtId="182" fontId="50" fillId="43" borderId="93" xfId="128" applyNumberFormat="1" applyFont="1" applyFill="1" applyBorder="1" applyAlignment="1" applyProtection="1">
      <alignment horizontal="right" vertical="center" wrapText="1"/>
      <protection/>
    </xf>
    <xf numFmtId="182" fontId="50" fillId="43" borderId="94" xfId="128" applyNumberFormat="1" applyFont="1" applyFill="1" applyBorder="1" applyAlignment="1" applyProtection="1">
      <alignment horizontal="right" vertical="center" wrapText="1"/>
      <protection/>
    </xf>
    <xf numFmtId="182" fontId="50" fillId="0" borderId="63" xfId="128" applyNumberFormat="1" applyFont="1" applyFill="1" applyBorder="1" applyAlignment="1" applyProtection="1">
      <alignment horizontal="right" vertical="center" wrapText="1"/>
      <protection locked="0"/>
    </xf>
    <xf numFmtId="182" fontId="50" fillId="0" borderId="58" xfId="128" applyNumberFormat="1" applyFont="1" applyFill="1" applyBorder="1" applyAlignment="1" applyProtection="1">
      <alignment horizontal="right" vertical="center" wrapText="1"/>
      <protection locked="0"/>
    </xf>
    <xf numFmtId="184" fontId="12" fillId="0" borderId="30" xfId="127" applyNumberFormat="1" applyFont="1" applyFill="1" applyBorder="1" applyAlignment="1" applyProtection="1">
      <alignment vertical="center"/>
      <protection/>
    </xf>
    <xf numFmtId="0" fontId="15" fillId="0" borderId="60" xfId="128" applyFont="1" applyFill="1" applyBorder="1" applyAlignment="1">
      <alignment horizontal="center" vertical="center" wrapText="1"/>
      <protection/>
    </xf>
    <xf numFmtId="0" fontId="15" fillId="0" borderId="61" xfId="128" applyFont="1" applyFill="1" applyBorder="1" applyAlignment="1">
      <alignment horizontal="center" vertical="center" wrapText="1"/>
      <protection/>
    </xf>
    <xf numFmtId="3" fontId="16" fillId="0" borderId="92" xfId="128" applyNumberFormat="1" applyFont="1" applyFill="1" applyBorder="1" applyProtection="1">
      <alignment/>
      <protection locked="0"/>
    </xf>
    <xf numFmtId="3" fontId="16" fillId="0" borderId="29" xfId="128" applyNumberFormat="1" applyFont="1" applyFill="1" applyBorder="1" applyProtection="1">
      <alignment/>
      <protection locked="0"/>
    </xf>
    <xf numFmtId="3" fontId="16" fillId="0" borderId="62" xfId="128" applyNumberFormat="1" applyFont="1" applyFill="1" applyBorder="1" applyProtection="1">
      <alignment/>
      <protection locked="0"/>
    </xf>
    <xf numFmtId="184" fontId="12" fillId="0" borderId="61" xfId="127" applyNumberFormat="1" applyFont="1" applyFill="1" applyBorder="1" applyAlignment="1" applyProtection="1">
      <alignment vertical="center"/>
      <protection/>
    </xf>
    <xf numFmtId="0" fontId="15" fillId="43" borderId="72" xfId="128" applyFont="1" applyFill="1" applyBorder="1" applyAlignment="1">
      <alignment horizontal="center" vertical="center" wrapText="1"/>
      <protection/>
    </xf>
    <xf numFmtId="0" fontId="15" fillId="43" borderId="30" xfId="128" applyFont="1" applyFill="1" applyBorder="1" applyAlignment="1">
      <alignment horizontal="center" vertical="center" wrapText="1"/>
      <protection/>
    </xf>
    <xf numFmtId="3" fontId="16" fillId="43" borderId="43" xfId="128" applyNumberFormat="1" applyFont="1" applyFill="1" applyBorder="1" applyProtection="1">
      <alignment/>
      <protection locked="0"/>
    </xf>
    <xf numFmtId="3" fontId="16" fillId="43" borderId="72" xfId="128" applyNumberFormat="1" applyFont="1" applyFill="1" applyBorder="1" applyProtection="1">
      <alignment/>
      <protection locked="0"/>
    </xf>
    <xf numFmtId="3" fontId="16" fillId="43" borderId="30" xfId="128" applyNumberFormat="1" applyFont="1" applyFill="1" applyBorder="1" applyProtection="1">
      <alignment/>
      <protection locked="0"/>
    </xf>
    <xf numFmtId="3" fontId="17" fillId="43" borderId="30" xfId="128" applyNumberFormat="1" applyFont="1" applyFill="1" applyBorder="1" applyProtection="1">
      <alignment/>
      <protection locked="0"/>
    </xf>
    <xf numFmtId="0" fontId="15" fillId="0" borderId="40" xfId="128" applyFont="1" applyFill="1" applyBorder="1" applyAlignment="1">
      <alignment horizontal="center" vertical="center"/>
      <protection/>
    </xf>
    <xf numFmtId="0" fontId="16" fillId="0" borderId="36" xfId="128" applyFont="1" applyFill="1" applyBorder="1" applyProtection="1">
      <alignment/>
      <protection locked="0"/>
    </xf>
    <xf numFmtId="0" fontId="16" fillId="0" borderId="38" xfId="128" applyFont="1" applyFill="1" applyBorder="1" applyProtection="1">
      <alignment/>
      <protection locked="0"/>
    </xf>
    <xf numFmtId="0" fontId="17" fillId="0" borderId="40" xfId="128" applyFont="1" applyFill="1" applyBorder="1" applyProtection="1">
      <alignment/>
      <protection locked="0"/>
    </xf>
    <xf numFmtId="0" fontId="16" fillId="0" borderId="95" xfId="128" applyFont="1" applyFill="1" applyBorder="1" applyProtection="1">
      <alignment/>
      <protection locked="0"/>
    </xf>
    <xf numFmtId="0" fontId="20" fillId="0" borderId="50" xfId="127" applyFont="1" applyFill="1" applyBorder="1" applyAlignment="1" applyProtection="1">
      <alignment horizontal="center" vertical="center" wrapText="1"/>
      <protection/>
    </xf>
    <xf numFmtId="0" fontId="15" fillId="0" borderId="79" xfId="128" applyFont="1" applyFill="1" applyBorder="1" applyAlignment="1">
      <alignment horizontal="center" vertical="center" wrapText="1"/>
      <protection/>
    </xf>
    <xf numFmtId="0" fontId="15" fillId="0" borderId="47" xfId="128" applyFont="1" applyFill="1" applyBorder="1" applyAlignment="1">
      <alignment horizontal="center" vertical="center" wrapText="1"/>
      <protection/>
    </xf>
    <xf numFmtId="3" fontId="16" fillId="0" borderId="68" xfId="128" applyNumberFormat="1" applyFont="1" applyFill="1" applyBorder="1" applyProtection="1">
      <alignment/>
      <protection locked="0"/>
    </xf>
    <xf numFmtId="3" fontId="16" fillId="0" borderId="51" xfId="128" applyNumberFormat="1" applyFont="1" applyFill="1" applyBorder="1" applyProtection="1">
      <alignment/>
      <protection locked="0"/>
    </xf>
    <xf numFmtId="3" fontId="16" fillId="0" borderId="69" xfId="128" applyNumberFormat="1" applyFont="1" applyFill="1" applyBorder="1" applyProtection="1">
      <alignment/>
      <protection locked="0"/>
    </xf>
    <xf numFmtId="184" fontId="12" fillId="0" borderId="47" xfId="127" applyNumberFormat="1" applyFont="1" applyFill="1" applyBorder="1" applyAlignment="1" applyProtection="1">
      <alignment vertical="center"/>
      <protection/>
    </xf>
    <xf numFmtId="0" fontId="15" fillId="0" borderId="30" xfId="128" applyFont="1" applyFill="1" applyBorder="1" applyAlignment="1">
      <alignment horizontal="center" vertical="center" wrapText="1"/>
      <protection/>
    </xf>
    <xf numFmtId="0" fontId="16" fillId="0" borderId="43" xfId="128" applyFont="1" applyFill="1" applyBorder="1" applyAlignment="1">
      <alignment horizontal="right" indent="1"/>
      <protection/>
    </xf>
    <xf numFmtId="0" fontId="16" fillId="0" borderId="37" xfId="128" applyFont="1" applyFill="1" applyBorder="1" applyAlignment="1">
      <alignment horizontal="right" indent="1"/>
      <protection/>
    </xf>
    <xf numFmtId="0" fontId="16" fillId="0" borderId="39" xfId="128" applyFont="1" applyFill="1" applyBorder="1" applyAlignment="1">
      <alignment horizontal="right" indent="1"/>
      <protection/>
    </xf>
    <xf numFmtId="0" fontId="17" fillId="0" borderId="30" xfId="128" applyFont="1" applyFill="1" applyBorder="1" applyAlignment="1">
      <alignment horizontal="right" indent="1"/>
      <protection/>
    </xf>
    <xf numFmtId="0" fontId="16" fillId="0" borderId="30" xfId="128" applyFont="1" applyFill="1" applyBorder="1" applyAlignment="1">
      <alignment horizontal="right" indent="1"/>
      <protection/>
    </xf>
    <xf numFmtId="174" fontId="21" fillId="0" borderId="0" xfId="0" applyNumberFormat="1" applyFont="1" applyFill="1" applyAlignment="1" applyProtection="1">
      <alignment vertical="center" wrapText="1"/>
      <protection locked="0"/>
    </xf>
    <xf numFmtId="0" fontId="12" fillId="0" borderId="76" xfId="0" applyFont="1" applyFill="1" applyBorder="1" applyAlignment="1" applyProtection="1">
      <alignment horizontal="center" vertical="center" wrapText="1"/>
      <protection/>
    </xf>
    <xf numFmtId="0" fontId="12" fillId="0" borderId="70" xfId="126" applyFont="1" applyFill="1" applyBorder="1" applyAlignment="1" applyProtection="1">
      <alignment horizontal="left" vertical="center" wrapText="1" indent="1"/>
      <protection/>
    </xf>
    <xf numFmtId="174" fontId="12" fillId="0" borderId="70" xfId="0" applyNumberFormat="1" applyFont="1" applyFill="1" applyBorder="1" applyAlignment="1" applyProtection="1">
      <alignment horizontal="right" vertical="center" wrapText="1" indent="1"/>
      <protection/>
    </xf>
    <xf numFmtId="174" fontId="12" fillId="0" borderId="96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76" xfId="126" applyFont="1" applyFill="1" applyBorder="1" applyAlignment="1" applyProtection="1">
      <alignment horizontal="center" vertical="center" wrapText="1"/>
      <protection/>
    </xf>
    <xf numFmtId="0" fontId="12" fillId="0" borderId="70" xfId="126" applyFont="1" applyFill="1" applyBorder="1" applyAlignment="1" applyProtection="1">
      <alignment horizontal="left" vertical="center" wrapText="1" indent="1"/>
      <protection/>
    </xf>
    <xf numFmtId="174" fontId="12" fillId="0" borderId="70" xfId="126" applyNumberFormat="1" applyFont="1" applyFill="1" applyBorder="1" applyAlignment="1" applyProtection="1">
      <alignment horizontal="right" vertical="center" wrapText="1" indent="1"/>
      <protection/>
    </xf>
    <xf numFmtId="174" fontId="12" fillId="0" borderId="96" xfId="126" applyNumberFormat="1" applyFont="1" applyFill="1" applyBorder="1" applyAlignment="1" applyProtection="1">
      <alignment horizontal="right" vertical="center" wrapText="1" indent="1"/>
      <protection/>
    </xf>
    <xf numFmtId="0" fontId="12" fillId="0" borderId="73" xfId="126" applyFont="1" applyFill="1" applyBorder="1" applyAlignment="1" applyProtection="1">
      <alignment horizontal="center" vertical="center" wrapText="1"/>
      <protection/>
    </xf>
    <xf numFmtId="0" fontId="12" fillId="0" borderId="27" xfId="126" applyFont="1" applyFill="1" applyBorder="1" applyAlignment="1" applyProtection="1">
      <alignment vertical="center" wrapText="1"/>
      <protection/>
    </xf>
    <xf numFmtId="174" fontId="12" fillId="0" borderId="91" xfId="126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5" fillId="0" borderId="70" xfId="126" applyFont="1" applyFill="1" applyBorder="1" applyAlignment="1" applyProtection="1">
      <alignment horizontal="center" vertical="center" wrapText="1"/>
      <protection/>
    </xf>
    <xf numFmtId="0" fontId="5" fillId="0" borderId="94" xfId="126" applyFont="1" applyFill="1" applyBorder="1" applyAlignment="1" applyProtection="1">
      <alignment horizontal="center" vertical="center" wrapText="1"/>
      <protection/>
    </xf>
    <xf numFmtId="0" fontId="19" fillId="0" borderId="23" xfId="0" applyFont="1" applyFill="1" applyBorder="1" applyAlignment="1">
      <alignment horizontal="center" vertical="center" wrapText="1"/>
    </xf>
    <xf numFmtId="185" fontId="6" fillId="0" borderId="64" xfId="0" applyNumberFormat="1" applyFont="1" applyFill="1" applyBorder="1" applyAlignment="1" applyProtection="1">
      <alignment horizontal="right" vertical="center"/>
      <protection/>
    </xf>
    <xf numFmtId="185" fontId="11" fillId="0" borderId="26" xfId="0" applyNumberFormat="1" applyFont="1" applyFill="1" applyBorder="1" applyAlignment="1" applyProtection="1">
      <alignment horizontal="right" vertical="center"/>
      <protection locked="0"/>
    </xf>
    <xf numFmtId="185" fontId="11" fillId="0" borderId="58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3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5" xfId="0" applyFill="1" applyBorder="1" applyAlignment="1" applyProtection="1">
      <alignment horizontal="left" vertical="center" wrapText="1" indent="1"/>
      <protection locked="0"/>
    </xf>
    <xf numFmtId="0" fontId="75" fillId="0" borderId="37" xfId="0" applyFont="1" applyFill="1" applyBorder="1" applyAlignment="1">
      <alignment horizontal="left" vertical="center" indent="5"/>
    </xf>
    <xf numFmtId="0" fontId="75" fillId="0" borderId="44" xfId="0" applyFont="1" applyFill="1" applyBorder="1" applyAlignment="1">
      <alignment horizontal="left" vertical="center" indent="5"/>
    </xf>
    <xf numFmtId="185" fontId="6" fillId="0" borderId="35" xfId="0" applyNumberFormat="1" applyFont="1" applyFill="1" applyBorder="1" applyAlignment="1" applyProtection="1">
      <alignment horizontal="right" vertical="center"/>
      <protection/>
    </xf>
    <xf numFmtId="185" fontId="11" fillId="0" borderId="37" xfId="0" applyNumberFormat="1" applyFont="1" applyFill="1" applyBorder="1" applyAlignment="1" applyProtection="1">
      <alignment horizontal="right" vertical="center"/>
      <protection locked="0"/>
    </xf>
    <xf numFmtId="185" fontId="11" fillId="0" borderId="44" xfId="0" applyNumberFormat="1" applyFont="1" applyFill="1" applyBorder="1" applyAlignment="1" applyProtection="1">
      <alignment horizontal="right" vertical="center"/>
      <protection locked="0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indent="1"/>
    </xf>
    <xf numFmtId="0" fontId="0" fillId="0" borderId="44" xfId="0" applyFont="1" applyFill="1" applyBorder="1" applyAlignment="1">
      <alignment horizontal="left" vertical="center" indent="1"/>
    </xf>
    <xf numFmtId="185" fontId="11" fillId="0" borderId="97" xfId="0" applyNumberFormat="1" applyFont="1" applyFill="1" applyBorder="1" applyAlignment="1" applyProtection="1">
      <alignment horizontal="right" vertical="center"/>
      <protection locked="0"/>
    </xf>
    <xf numFmtId="185" fontId="11" fillId="0" borderId="98" xfId="0" applyNumberFormat="1" applyFont="1" applyFill="1" applyBorder="1" applyAlignment="1" applyProtection="1">
      <alignment horizontal="right" vertical="center"/>
      <protection locked="0"/>
    </xf>
    <xf numFmtId="185" fontId="6" fillId="0" borderId="54" xfId="0" applyNumberFormat="1" applyFont="1" applyFill="1" applyBorder="1" applyAlignment="1" applyProtection="1">
      <alignment horizontal="right" vertical="center"/>
      <protection/>
    </xf>
    <xf numFmtId="185" fontId="6" fillId="0" borderId="33" xfId="0" applyNumberFormat="1" applyFont="1" applyFill="1" applyBorder="1" applyAlignment="1" applyProtection="1">
      <alignment horizontal="right" vertical="center"/>
      <protection/>
    </xf>
    <xf numFmtId="185" fontId="11" fillId="0" borderId="36" xfId="0" applyNumberFormat="1" applyFont="1" applyFill="1" applyBorder="1" applyAlignment="1" applyProtection="1">
      <alignment horizontal="right" vertical="center"/>
      <protection locked="0"/>
    </xf>
    <xf numFmtId="185" fontId="11" fillId="0" borderId="77" xfId="0" applyNumberFormat="1" applyFont="1" applyFill="1" applyBorder="1" applyAlignment="1" applyProtection="1">
      <alignment horizontal="right" vertical="center"/>
      <protection locked="0"/>
    </xf>
    <xf numFmtId="0" fontId="5" fillId="0" borderId="40" xfId="0" applyFont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185" fontId="6" fillId="0" borderId="92" xfId="0" applyNumberFormat="1" applyFont="1" applyFill="1" applyBorder="1" applyAlignment="1" applyProtection="1">
      <alignment horizontal="right" vertical="center"/>
      <protection/>
    </xf>
    <xf numFmtId="185" fontId="11" fillId="0" borderId="29" xfId="0" applyNumberFormat="1" applyFont="1" applyFill="1" applyBorder="1" applyAlignment="1" applyProtection="1">
      <alignment horizontal="right" vertical="center"/>
      <protection locked="0"/>
    </xf>
    <xf numFmtId="185" fontId="11" fillId="0" borderId="57" xfId="0" applyNumberFormat="1" applyFont="1" applyFill="1" applyBorder="1" applyAlignment="1" applyProtection="1">
      <alignment horizontal="right" vertical="center"/>
      <protection locked="0"/>
    </xf>
    <xf numFmtId="0" fontId="5" fillId="41" borderId="30" xfId="0" applyFont="1" applyFill="1" applyBorder="1" applyAlignment="1">
      <alignment horizontal="center" vertical="center" wrapText="1"/>
    </xf>
    <xf numFmtId="0" fontId="19" fillId="41" borderId="30" xfId="0" applyFont="1" applyFill="1" applyBorder="1" applyAlignment="1">
      <alignment horizontal="center" vertical="center" wrapText="1"/>
    </xf>
    <xf numFmtId="185" fontId="6" fillId="41" borderId="35" xfId="0" applyNumberFormat="1" applyFont="1" applyFill="1" applyBorder="1" applyAlignment="1" applyProtection="1">
      <alignment horizontal="right" vertical="center"/>
      <protection/>
    </xf>
    <xf numFmtId="17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97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99" xfId="0" applyNumberFormat="1" applyFont="1" applyFill="1" applyBorder="1" applyAlignment="1" applyProtection="1">
      <alignment horizontal="right" vertical="center" wrapText="1" indent="1"/>
      <protection locked="0"/>
    </xf>
    <xf numFmtId="174" fontId="12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0" xfId="128" applyFont="1" applyFill="1" applyBorder="1" applyAlignment="1" applyProtection="1">
      <alignment horizontal="right"/>
      <protection/>
    </xf>
    <xf numFmtId="174" fontId="7" fillId="0" borderId="0" xfId="0" applyNumberFormat="1" applyFont="1" applyFill="1" applyAlignment="1">
      <alignment textRotation="180" wrapText="1"/>
    </xf>
    <xf numFmtId="174" fontId="7" fillId="0" borderId="0" xfId="0" applyNumberFormat="1" applyFont="1" applyFill="1" applyAlignment="1" applyProtection="1">
      <alignment textRotation="180" wrapText="1"/>
      <protection/>
    </xf>
    <xf numFmtId="174" fontId="7" fillId="0" borderId="0" xfId="0" applyNumberFormat="1" applyFont="1" applyFill="1" applyAlignment="1" applyProtection="1">
      <alignment textRotation="180" wrapText="1"/>
      <protection locked="0"/>
    </xf>
    <xf numFmtId="0" fontId="7" fillId="0" borderId="0" xfId="0" applyFont="1" applyFill="1" applyAlignment="1">
      <alignment textRotation="180"/>
    </xf>
    <xf numFmtId="0" fontId="23" fillId="0" borderId="28" xfId="0" applyFont="1" applyBorder="1" applyAlignment="1" applyProtection="1">
      <alignment vertical="top"/>
      <protection/>
    </xf>
    <xf numFmtId="0" fontId="38" fillId="0" borderId="28" xfId="0" applyFont="1" applyBorder="1" applyAlignment="1" applyProtection="1">
      <alignment vertical="top"/>
      <protection/>
    </xf>
    <xf numFmtId="0" fontId="38" fillId="0" borderId="28" xfId="0" applyFont="1" applyBorder="1" applyAlignment="1" applyProtection="1">
      <alignment vertical="top"/>
      <protection locked="0"/>
    </xf>
    <xf numFmtId="3" fontId="47" fillId="0" borderId="19" xfId="0" applyNumberFormat="1" applyFont="1" applyBorder="1" applyAlignment="1">
      <alignment horizontal="right" vertical="top" wrapText="1"/>
    </xf>
    <xf numFmtId="3" fontId="46" fillId="0" borderId="19" xfId="0" applyNumberFormat="1" applyFont="1" applyBorder="1" applyAlignment="1">
      <alignment horizontal="right" vertical="top" wrapText="1"/>
    </xf>
    <xf numFmtId="0" fontId="47" fillId="0" borderId="20" xfId="0" applyFont="1" applyBorder="1" applyAlignment="1">
      <alignment horizontal="left" vertical="top" wrapText="1"/>
    </xf>
    <xf numFmtId="3" fontId="47" fillId="0" borderId="26" xfId="0" applyNumberFormat="1" applyFont="1" applyBorder="1" applyAlignment="1">
      <alignment horizontal="right" vertical="top" wrapText="1"/>
    </xf>
    <xf numFmtId="0" fontId="46" fillId="0" borderId="20" xfId="0" applyFont="1" applyBorder="1" applyAlignment="1">
      <alignment horizontal="left" vertical="top" wrapText="1"/>
    </xf>
    <xf numFmtId="3" fontId="46" fillId="0" borderId="26" xfId="0" applyNumberFormat="1" applyFont="1" applyBorder="1" applyAlignment="1">
      <alignment horizontal="right" vertical="top" wrapText="1"/>
    </xf>
    <xf numFmtId="0" fontId="46" fillId="0" borderId="63" xfId="0" applyFont="1" applyBorder="1" applyAlignment="1">
      <alignment horizontal="left" vertical="top" wrapText="1"/>
    </xf>
    <xf numFmtId="3" fontId="46" fillId="0" borderId="49" xfId="0" applyNumberFormat="1" applyFont="1" applyBorder="1" applyAlignment="1">
      <alignment horizontal="right" vertical="top" wrapText="1"/>
    </xf>
    <xf numFmtId="3" fontId="46" fillId="0" borderId="58" xfId="0" applyNumberFormat="1" applyFont="1" applyBorder="1" applyAlignment="1">
      <alignment horizontal="right" vertical="top" wrapText="1"/>
    </xf>
    <xf numFmtId="176" fontId="74" fillId="0" borderId="19" xfId="84" applyNumberFormat="1" applyFont="1" applyFill="1" applyBorder="1" applyAlignment="1">
      <alignment/>
    </xf>
    <xf numFmtId="182" fontId="17" fillId="0" borderId="53" xfId="128" applyNumberFormat="1" applyFont="1" applyFill="1" applyBorder="1" applyAlignment="1" applyProtection="1">
      <alignment horizontal="right" vertical="center" wrapText="1"/>
      <protection locked="0"/>
    </xf>
    <xf numFmtId="182" fontId="17" fillId="0" borderId="29" xfId="128" applyNumberFormat="1" applyFont="1" applyFill="1" applyBorder="1" applyAlignment="1" applyProtection="1">
      <alignment horizontal="right" vertical="center" wrapText="1"/>
      <protection/>
    </xf>
    <xf numFmtId="182" fontId="27" fillId="0" borderId="29" xfId="128" applyNumberFormat="1" applyFont="1" applyFill="1" applyBorder="1" applyAlignment="1" applyProtection="1">
      <alignment horizontal="right" vertical="center" wrapText="1"/>
      <protection/>
    </xf>
    <xf numFmtId="182" fontId="26" fillId="0" borderId="29" xfId="128" applyNumberFormat="1" applyFont="1" applyFill="1" applyBorder="1" applyAlignment="1" applyProtection="1">
      <alignment horizontal="right" vertical="center" wrapText="1"/>
      <protection locked="0"/>
    </xf>
    <xf numFmtId="182" fontId="16" fillId="0" borderId="29" xfId="128" applyNumberFormat="1" applyFont="1" applyFill="1" applyBorder="1" applyAlignment="1" applyProtection="1">
      <alignment horizontal="right" vertical="center" wrapText="1"/>
      <protection locked="0"/>
    </xf>
    <xf numFmtId="182" fontId="27" fillId="0" borderId="29" xfId="128" applyNumberFormat="1" applyFont="1" applyFill="1" applyBorder="1" applyAlignment="1" applyProtection="1">
      <alignment horizontal="right" vertical="center" wrapText="1"/>
      <protection locked="0"/>
    </xf>
    <xf numFmtId="182" fontId="50" fillId="0" borderId="29" xfId="128" applyNumberFormat="1" applyFont="1" applyFill="1" applyBorder="1" applyAlignment="1" applyProtection="1">
      <alignment horizontal="right" vertical="center" wrapText="1"/>
      <protection/>
    </xf>
    <xf numFmtId="182" fontId="17" fillId="0" borderId="29" xfId="128" applyNumberFormat="1" applyFont="1" applyFill="1" applyBorder="1" applyAlignment="1" applyProtection="1">
      <alignment horizontal="right" vertical="center" wrapText="1"/>
      <protection locked="0"/>
    </xf>
    <xf numFmtId="182" fontId="50" fillId="0" borderId="29" xfId="128" applyNumberFormat="1" applyFont="1" applyFill="1" applyBorder="1" applyAlignment="1" applyProtection="1">
      <alignment horizontal="right" vertical="center" wrapText="1"/>
      <protection locked="0"/>
    </xf>
    <xf numFmtId="182" fontId="50" fillId="43" borderId="57" xfId="128" applyNumberFormat="1" applyFont="1" applyFill="1" applyBorder="1" applyAlignment="1" applyProtection="1">
      <alignment horizontal="right" vertical="center" wrapText="1"/>
      <protection/>
    </xf>
    <xf numFmtId="182" fontId="17" fillId="0" borderId="42" xfId="128" applyNumberFormat="1" applyFont="1" applyFill="1" applyBorder="1" applyAlignment="1" applyProtection="1">
      <alignment horizontal="right" vertical="center" wrapText="1"/>
      <protection locked="0"/>
    </xf>
    <xf numFmtId="182" fontId="17" fillId="0" borderId="64" xfId="128" applyNumberFormat="1" applyFont="1" applyFill="1" applyBorder="1" applyAlignment="1" applyProtection="1">
      <alignment horizontal="right" vertical="center" wrapText="1"/>
      <protection locked="0"/>
    </xf>
    <xf numFmtId="182" fontId="50" fillId="43" borderId="77" xfId="128" applyNumberFormat="1" applyFont="1" applyFill="1" applyBorder="1" applyAlignment="1" applyProtection="1">
      <alignment horizontal="right" vertical="center" wrapText="1"/>
      <protection/>
    </xf>
    <xf numFmtId="182" fontId="17" fillId="43" borderId="20" xfId="128" applyNumberFormat="1" applyFont="1" applyFill="1" applyBorder="1" applyAlignment="1" applyProtection="1">
      <alignment horizontal="right" vertical="center" wrapText="1"/>
      <protection locked="0"/>
    </xf>
    <xf numFmtId="182" fontId="17" fillId="43" borderId="42" xfId="128" applyNumberFormat="1" applyFont="1" applyFill="1" applyBorder="1" applyAlignment="1" applyProtection="1">
      <alignment horizontal="right" vertical="center" wrapText="1"/>
      <protection locked="0"/>
    </xf>
    <xf numFmtId="182" fontId="17" fillId="43" borderId="64" xfId="128" applyNumberFormat="1" applyFont="1" applyFill="1" applyBorder="1" applyAlignment="1" applyProtection="1">
      <alignment horizontal="right" vertical="center" wrapText="1"/>
      <protection locked="0"/>
    </xf>
    <xf numFmtId="0" fontId="27" fillId="43" borderId="63" xfId="128" applyFont="1" applyFill="1" applyBorder="1" applyAlignment="1" applyProtection="1">
      <alignment horizontal="center" vertical="center" wrapText="1"/>
      <protection/>
    </xf>
    <xf numFmtId="0" fontId="20" fillId="0" borderId="84" xfId="127" applyFont="1" applyFill="1" applyBorder="1" applyAlignment="1" applyProtection="1">
      <alignment horizontal="center" vertical="center" wrapText="1"/>
      <protection/>
    </xf>
    <xf numFmtId="0" fontId="15" fillId="0" borderId="0" xfId="128" applyFont="1" applyFill="1" applyBorder="1" applyAlignment="1">
      <alignment horizontal="center" vertical="center" wrapText="1"/>
      <protection/>
    </xf>
    <xf numFmtId="0" fontId="15" fillId="0" borderId="84" xfId="128" applyFont="1" applyFill="1" applyBorder="1" applyAlignment="1">
      <alignment horizontal="center" vertical="center" wrapText="1"/>
      <protection/>
    </xf>
    <xf numFmtId="3" fontId="16" fillId="0" borderId="100" xfId="128" applyNumberFormat="1" applyFont="1" applyFill="1" applyBorder="1" applyProtection="1">
      <alignment/>
      <protection locked="0"/>
    </xf>
    <xf numFmtId="3" fontId="16" fillId="0" borderId="0" xfId="128" applyNumberFormat="1" applyFont="1" applyFill="1" applyBorder="1" applyProtection="1">
      <alignment/>
      <protection locked="0"/>
    </xf>
    <xf numFmtId="184" fontId="12" fillId="0" borderId="84" xfId="127" applyNumberFormat="1" applyFont="1" applyFill="1" applyBorder="1" applyAlignment="1" applyProtection="1">
      <alignment vertical="center"/>
      <protection/>
    </xf>
    <xf numFmtId="184" fontId="12" fillId="0" borderId="40" xfId="127" applyNumberFormat="1" applyFont="1" applyFill="1" applyBorder="1" applyAlignment="1" applyProtection="1">
      <alignment vertical="center"/>
      <protection/>
    </xf>
    <xf numFmtId="0" fontId="20" fillId="0" borderId="30" xfId="127" applyFont="1" applyFill="1" applyBorder="1" applyAlignment="1" applyProtection="1">
      <alignment horizontal="center" vertical="center" wrapText="1"/>
      <protection/>
    </xf>
    <xf numFmtId="0" fontId="15" fillId="0" borderId="72" xfId="128" applyFont="1" applyFill="1" applyBorder="1" applyAlignment="1">
      <alignment horizontal="center" vertical="center" wrapText="1"/>
      <protection/>
    </xf>
    <xf numFmtId="3" fontId="16" fillId="0" borderId="43" xfId="128" applyNumberFormat="1" applyFont="1" applyFill="1" applyBorder="1" applyProtection="1">
      <alignment/>
      <protection locked="0"/>
    </xf>
    <xf numFmtId="3" fontId="16" fillId="0" borderId="37" xfId="128" applyNumberFormat="1" applyFont="1" applyFill="1" applyBorder="1" applyProtection="1">
      <alignment/>
      <protection locked="0"/>
    </xf>
    <xf numFmtId="3" fontId="16" fillId="0" borderId="39" xfId="128" applyNumberFormat="1" applyFont="1" applyFill="1" applyBorder="1" applyProtection="1">
      <alignment/>
      <protection locked="0"/>
    </xf>
    <xf numFmtId="0" fontId="54" fillId="2" borderId="19" xfId="0" applyFont="1" applyFill="1" applyBorder="1" applyAlignment="1">
      <alignment horizontal="center" vertical="top" wrapText="1"/>
    </xf>
    <xf numFmtId="0" fontId="54" fillId="2" borderId="20" xfId="0" applyFont="1" applyFill="1" applyBorder="1" applyAlignment="1">
      <alignment horizontal="center" vertical="top" wrapText="1"/>
    </xf>
    <xf numFmtId="3" fontId="51" fillId="41" borderId="26" xfId="126" applyNumberFormat="1" applyFont="1" applyFill="1" applyBorder="1" applyAlignment="1" applyProtection="1">
      <alignment vertical="top"/>
      <protection/>
    </xf>
    <xf numFmtId="3" fontId="50" fillId="41" borderId="26" xfId="126" applyNumberFormat="1" applyFont="1" applyFill="1" applyBorder="1" applyAlignment="1" applyProtection="1">
      <alignment vertical="top"/>
      <protection/>
    </xf>
    <xf numFmtId="0" fontId="54" fillId="2" borderId="26" xfId="0" applyFont="1" applyFill="1" applyBorder="1" applyAlignment="1">
      <alignment horizontal="center" vertical="top" wrapText="1"/>
    </xf>
    <xf numFmtId="3" fontId="51" fillId="41" borderId="67" xfId="126" applyNumberFormat="1" applyFont="1" applyFill="1" applyBorder="1" applyAlignment="1" applyProtection="1">
      <alignment vertical="top"/>
      <protection/>
    </xf>
    <xf numFmtId="3" fontId="50" fillId="41" borderId="67" xfId="126" applyNumberFormat="1" applyFont="1" applyFill="1" applyBorder="1" applyAlignment="1" applyProtection="1">
      <alignment vertical="top"/>
      <protection/>
    </xf>
    <xf numFmtId="3" fontId="51" fillId="41" borderId="80" xfId="126" applyNumberFormat="1" applyFont="1" applyFill="1" applyBorder="1" applyAlignment="1" applyProtection="1">
      <alignment vertical="top"/>
      <protection/>
    </xf>
    <xf numFmtId="3" fontId="51" fillId="41" borderId="64" xfId="126" applyNumberFormat="1" applyFont="1" applyFill="1" applyBorder="1" applyAlignment="1" applyProtection="1">
      <alignment vertical="top"/>
      <protection/>
    </xf>
    <xf numFmtId="0" fontId="54" fillId="41" borderId="25" xfId="0" applyFont="1" applyFill="1" applyBorder="1" applyAlignment="1">
      <alignment horizontal="center" vertical="top" wrapText="1"/>
    </xf>
    <xf numFmtId="0" fontId="54" fillId="41" borderId="23" xfId="0" applyFont="1" applyFill="1" applyBorder="1" applyAlignment="1">
      <alignment horizontal="center" vertical="top" wrapText="1"/>
    </xf>
    <xf numFmtId="0" fontId="76" fillId="2" borderId="19" xfId="0" applyFont="1" applyFill="1" applyBorder="1" applyAlignment="1">
      <alignment horizontal="center" vertical="top" wrapText="1"/>
    </xf>
    <xf numFmtId="198" fontId="76" fillId="2" borderId="19" xfId="75" applyNumberFormat="1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center"/>
    </xf>
    <xf numFmtId="0" fontId="76" fillId="0" borderId="19" xfId="0" applyFont="1" applyBorder="1" applyAlignment="1">
      <alignment horizontal="left" vertical="top" wrapText="1"/>
    </xf>
    <xf numFmtId="199" fontId="76" fillId="0" borderId="19" xfId="75" applyNumberFormat="1" applyFont="1" applyBorder="1" applyAlignment="1">
      <alignment horizontal="left" vertical="top" wrapText="1"/>
    </xf>
    <xf numFmtId="17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9" xfId="126" applyFont="1" applyFill="1" applyBorder="1" applyAlignment="1" applyProtection="1">
      <alignment horizontal="left" vertical="center" wrapText="1" indent="1"/>
      <protection/>
    </xf>
    <xf numFmtId="174" fontId="13" fillId="0" borderId="100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9" xfId="126" applyNumberFormat="1" applyFont="1" applyFill="1" applyBorder="1" applyAlignment="1" applyProtection="1">
      <alignment horizontal="center" vertical="center" wrapText="1"/>
      <protection/>
    </xf>
    <xf numFmtId="0" fontId="12" fillId="0" borderId="50" xfId="126" applyFont="1" applyFill="1" applyBorder="1" applyAlignment="1" applyProtection="1">
      <alignment horizontal="left" vertical="center" wrapText="1" indent="1"/>
      <protection/>
    </xf>
    <xf numFmtId="49" fontId="13" fillId="0" borderId="24" xfId="126" applyNumberFormat="1" applyFont="1" applyFill="1" applyBorder="1" applyAlignment="1" applyProtection="1">
      <alignment horizontal="center" vertical="center" wrapText="1"/>
      <protection/>
    </xf>
    <xf numFmtId="0" fontId="12" fillId="0" borderId="30" xfId="126" applyFont="1" applyFill="1" applyBorder="1" applyAlignment="1" applyProtection="1">
      <alignment horizontal="center" vertical="center" wrapText="1"/>
      <protection/>
    </xf>
    <xf numFmtId="174" fontId="13" fillId="0" borderId="100" xfId="126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97" xfId="126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97" xfId="126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29" xfId="126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35" xfId="126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43" xfId="126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37" xfId="126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37" xfId="126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62" xfId="126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72" xfId="126" applyNumberFormat="1" applyFont="1" applyFill="1" applyBorder="1" applyAlignment="1" applyProtection="1">
      <alignment horizontal="right" vertical="center" wrapText="1" indent="1"/>
      <protection locked="0"/>
    </xf>
    <xf numFmtId="174" fontId="13" fillId="0" borderId="39" xfId="126" applyNumberFormat="1" applyFont="1" applyFill="1" applyBorder="1" applyAlignment="1" applyProtection="1">
      <alignment horizontal="right" vertical="center" wrapText="1" indent="1"/>
      <protection locked="0"/>
    </xf>
    <xf numFmtId="174" fontId="6" fillId="0" borderId="101" xfId="0" applyNumberFormat="1" applyFont="1" applyFill="1" applyBorder="1" applyAlignment="1" applyProtection="1">
      <alignment horizontal="center" vertical="center" wrapText="1"/>
      <protection/>
    </xf>
    <xf numFmtId="174" fontId="6" fillId="0" borderId="66" xfId="0" applyNumberFormat="1" applyFont="1" applyFill="1" applyBorder="1" applyAlignment="1" applyProtection="1">
      <alignment horizontal="center" vertical="center" wrapText="1"/>
      <protection/>
    </xf>
    <xf numFmtId="0" fontId="101" fillId="44" borderId="19" xfId="0" applyFont="1" applyFill="1" applyBorder="1" applyAlignment="1">
      <alignment horizontal="center"/>
    </xf>
    <xf numFmtId="0" fontId="28" fillId="0" borderId="19" xfId="0" applyFont="1" applyBorder="1" applyAlignment="1">
      <alignment wrapText="1"/>
    </xf>
    <xf numFmtId="200" fontId="28" fillId="0" borderId="19" xfId="75" applyNumberFormat="1" applyFont="1" applyBorder="1" applyAlignment="1">
      <alignment/>
    </xf>
    <xf numFmtId="0" fontId="101" fillId="44" borderId="19" xfId="0" applyFont="1" applyFill="1" applyBorder="1" applyAlignment="1">
      <alignment/>
    </xf>
    <xf numFmtId="200" fontId="101" fillId="44" borderId="19" xfId="75" applyNumberFormat="1" applyFont="1" applyFill="1" applyBorder="1" applyAlignment="1">
      <alignment/>
    </xf>
    <xf numFmtId="0" fontId="102" fillId="0" borderId="19" xfId="0" applyFont="1" applyBorder="1" applyAlignment="1">
      <alignment horizontal="center"/>
    </xf>
    <xf numFmtId="174" fontId="12" fillId="0" borderId="27" xfId="0" applyNumberFormat="1" applyFont="1" applyFill="1" applyBorder="1" applyAlignment="1" applyProtection="1">
      <alignment horizontal="center" vertical="center" wrapText="1"/>
      <protection/>
    </xf>
    <xf numFmtId="174" fontId="6" fillId="0" borderId="76" xfId="0" applyNumberFormat="1" applyFont="1" applyFill="1" applyBorder="1" applyAlignment="1" applyProtection="1">
      <alignment horizontal="left" vertical="center" wrapText="1"/>
      <protection/>
    </xf>
    <xf numFmtId="174" fontId="12" fillId="0" borderId="70" xfId="0" applyNumberFormat="1" applyFont="1" applyFill="1" applyBorder="1" applyAlignment="1" applyProtection="1">
      <alignment vertical="center" wrapText="1"/>
      <protection/>
    </xf>
    <xf numFmtId="176" fontId="51" fillId="0" borderId="19" xfId="75" applyNumberFormat="1" applyFont="1" applyBorder="1" applyAlignment="1">
      <alignment/>
    </xf>
    <xf numFmtId="174" fontId="16" fillId="0" borderId="19" xfId="0" applyNumberFormat="1" applyFont="1" applyFill="1" applyBorder="1" applyAlignment="1" applyProtection="1">
      <alignment vertical="center" wrapText="1"/>
      <protection locked="0"/>
    </xf>
    <xf numFmtId="174" fontId="51" fillId="0" borderId="19" xfId="0" applyNumberFormat="1" applyFont="1" applyFill="1" applyBorder="1" applyAlignment="1">
      <alignment vertical="center" wrapText="1"/>
    </xf>
    <xf numFmtId="174" fontId="12" fillId="0" borderId="101" xfId="0" applyNumberFormat="1" applyFont="1" applyFill="1" applyBorder="1" applyAlignment="1" applyProtection="1">
      <alignment horizontal="center" vertical="center" wrapText="1"/>
      <protection/>
    </xf>
    <xf numFmtId="174" fontId="12" fillId="0" borderId="74" xfId="0" applyNumberFormat="1" applyFont="1" applyFill="1" applyBorder="1" applyAlignment="1" applyProtection="1">
      <alignment horizontal="center" vertical="center" wrapText="1"/>
      <protection/>
    </xf>
    <xf numFmtId="174" fontId="12" fillId="0" borderId="82" xfId="0" applyNumberFormat="1" applyFont="1" applyFill="1" applyBorder="1" applyAlignment="1" applyProtection="1">
      <alignment horizontal="center" vertical="center" wrapText="1"/>
      <protection/>
    </xf>
    <xf numFmtId="174" fontId="12" fillId="0" borderId="60" xfId="0" applyNumberFormat="1" applyFont="1" applyFill="1" applyBorder="1" applyAlignment="1" applyProtection="1">
      <alignment horizontal="center" vertical="center" wrapText="1"/>
      <protection/>
    </xf>
    <xf numFmtId="174" fontId="12" fillId="0" borderId="91" xfId="0" applyNumberFormat="1" applyFont="1" applyFill="1" applyBorder="1" applyAlignment="1" applyProtection="1">
      <alignment horizontal="center" vertical="center" wrapText="1"/>
      <protection/>
    </xf>
    <xf numFmtId="174" fontId="50" fillId="0" borderId="19" xfId="0" applyNumberFormat="1" applyFont="1" applyFill="1" applyBorder="1" applyAlignment="1">
      <alignment vertical="center" wrapText="1"/>
    </xf>
    <xf numFmtId="0" fontId="51" fillId="0" borderId="20" xfId="0" applyFont="1" applyBorder="1" applyAlignment="1">
      <alignment/>
    </xf>
    <xf numFmtId="0" fontId="51" fillId="0" borderId="63" xfId="0" applyFont="1" applyBorder="1" applyAlignment="1">
      <alignment/>
    </xf>
    <xf numFmtId="176" fontId="51" fillId="0" borderId="49" xfId="75" applyNumberFormat="1" applyFont="1" applyBorder="1" applyAlignment="1">
      <alignment/>
    </xf>
    <xf numFmtId="174" fontId="51" fillId="0" borderId="49" xfId="0" applyNumberFormat="1" applyFont="1" applyFill="1" applyBorder="1" applyAlignment="1">
      <alignment vertical="center" wrapText="1"/>
    </xf>
    <xf numFmtId="174" fontId="12" fillId="40" borderId="70" xfId="0" applyNumberFormat="1" applyFont="1" applyFill="1" applyBorder="1" applyAlignment="1" applyProtection="1">
      <alignment vertical="center" wrapText="1"/>
      <protection/>
    </xf>
    <xf numFmtId="1" fontId="16" fillId="0" borderId="19" xfId="0" applyNumberFormat="1" applyFont="1" applyFill="1" applyBorder="1" applyAlignment="1" applyProtection="1">
      <alignment horizontal="center" vertical="center" wrapText="1"/>
      <protection locked="0"/>
    </xf>
    <xf numFmtId="174" fontId="11" fillId="0" borderId="63" xfId="0" applyNumberFormat="1" applyFont="1" applyFill="1" applyBorder="1" applyAlignment="1" applyProtection="1">
      <alignment horizontal="left" vertical="center" wrapText="1" indent="1"/>
      <protection locked="0"/>
    </xf>
    <xf numFmtId="174" fontId="13" fillId="0" borderId="49" xfId="0" applyNumberFormat="1" applyFont="1" applyFill="1" applyBorder="1" applyAlignment="1" applyProtection="1">
      <alignment vertical="center" wrapText="1"/>
      <protection locked="0"/>
    </xf>
    <xf numFmtId="1" fontId="13" fillId="0" borderId="49" xfId="0" applyNumberFormat="1" applyFont="1" applyFill="1" applyBorder="1" applyAlignment="1" applyProtection="1">
      <alignment horizontal="center" vertical="center" wrapText="1"/>
      <protection locked="0"/>
    </xf>
    <xf numFmtId="174" fontId="13" fillId="0" borderId="57" xfId="0" applyNumberFormat="1" applyFont="1" applyFill="1" applyBorder="1" applyAlignment="1" applyProtection="1">
      <alignment vertical="center" wrapText="1"/>
      <protection locked="0"/>
    </xf>
    <xf numFmtId="174" fontId="12" fillId="0" borderId="58" xfId="0" applyNumberFormat="1" applyFont="1" applyFill="1" applyBorder="1" applyAlignment="1" applyProtection="1">
      <alignment vertical="center" wrapText="1"/>
      <protection/>
    </xf>
    <xf numFmtId="0" fontId="6" fillId="0" borderId="66" xfId="0" applyFont="1" applyBorder="1" applyAlignment="1">
      <alignment horizontal="center" vertical="center" wrapText="1"/>
    </xf>
    <xf numFmtId="174" fontId="6" fillId="0" borderId="85" xfId="0" applyNumberFormat="1" applyFont="1" applyFill="1" applyBorder="1" applyAlignment="1" applyProtection="1">
      <alignment horizontal="center" vertical="center" wrapText="1"/>
      <protection/>
    </xf>
    <xf numFmtId="174" fontId="12" fillId="0" borderId="25" xfId="0" applyNumberFormat="1" applyFont="1" applyFill="1" applyBorder="1" applyAlignment="1" applyProtection="1">
      <alignment horizontal="center" vertical="center" wrapText="1"/>
      <protection/>
    </xf>
    <xf numFmtId="174" fontId="12" fillId="0" borderId="50" xfId="0" applyNumberFormat="1" applyFont="1" applyFill="1" applyBorder="1" applyAlignment="1" applyProtection="1">
      <alignment horizontal="center" vertical="center" wrapText="1"/>
      <protection/>
    </xf>
    <xf numFmtId="174" fontId="12" fillId="0" borderId="23" xfId="0" applyNumberFormat="1" applyFont="1" applyFill="1" applyBorder="1" applyAlignment="1" applyProtection="1">
      <alignment horizontal="center" vertical="center" wrapText="1"/>
      <protection/>
    </xf>
    <xf numFmtId="200" fontId="0" fillId="0" borderId="46" xfId="75" applyNumberFormat="1" applyFont="1" applyBorder="1" applyAlignment="1">
      <alignment horizontal="right"/>
    </xf>
    <xf numFmtId="174" fontId="13" fillId="0" borderId="46" xfId="0" applyNumberFormat="1" applyFont="1" applyFill="1" applyBorder="1" applyAlignment="1" applyProtection="1">
      <alignment horizontal="right" vertical="center" wrapText="1"/>
      <protection locked="0"/>
    </xf>
    <xf numFmtId="174" fontId="12" fillId="0" borderId="64" xfId="0" applyNumberFormat="1" applyFont="1" applyFill="1" applyBorder="1" applyAlignment="1" applyProtection="1">
      <alignment horizontal="right" vertical="center" wrapText="1"/>
      <protection/>
    </xf>
    <xf numFmtId="200" fontId="0" fillId="0" borderId="19" xfId="75" applyNumberFormat="1" applyFont="1" applyBorder="1" applyAlignment="1">
      <alignment horizontal="right"/>
    </xf>
    <xf numFmtId="174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174" fontId="12" fillId="0" borderId="26" xfId="0" applyNumberFormat="1" applyFont="1" applyFill="1" applyBorder="1" applyAlignment="1" applyProtection="1">
      <alignment horizontal="right" vertical="center" wrapText="1"/>
      <protection/>
    </xf>
    <xf numFmtId="200" fontId="0" fillId="0" borderId="0" xfId="0" applyNumberFormat="1" applyAlignment="1">
      <alignment horizontal="right"/>
    </xf>
    <xf numFmtId="200" fontId="0" fillId="0" borderId="19" xfId="0" applyNumberFormat="1" applyBorder="1" applyAlignment="1">
      <alignment horizontal="right"/>
    </xf>
    <xf numFmtId="1" fontId="13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9" xfId="0" applyFont="1" applyBorder="1" applyAlignment="1">
      <alignment/>
    </xf>
    <xf numFmtId="0" fontId="103" fillId="0" borderId="46" xfId="0" applyFont="1" applyBorder="1" applyAlignment="1">
      <alignment/>
    </xf>
    <xf numFmtId="0" fontId="103" fillId="0" borderId="19" xfId="0" applyFont="1" applyBorder="1" applyAlignment="1">
      <alignment/>
    </xf>
    <xf numFmtId="174" fontId="17" fillId="0" borderId="19" xfId="0" applyNumberFormat="1" applyFont="1" applyFill="1" applyBorder="1" applyAlignment="1" applyProtection="1">
      <alignment vertical="center" wrapText="1"/>
      <protection locked="0"/>
    </xf>
    <xf numFmtId="174" fontId="12" fillId="0" borderId="56" xfId="0" applyNumberFormat="1" applyFont="1" applyFill="1" applyBorder="1" applyAlignment="1" applyProtection="1">
      <alignment vertical="center" wrapText="1"/>
      <protection/>
    </xf>
    <xf numFmtId="174" fontId="12" fillId="0" borderId="65" xfId="0" applyNumberFormat="1" applyFont="1" applyFill="1" applyBorder="1" applyAlignment="1" applyProtection="1">
      <alignment vertical="center" wrapText="1"/>
      <protection/>
    </xf>
    <xf numFmtId="174" fontId="12" fillId="0" borderId="30" xfId="0" applyNumberFormat="1" applyFont="1" applyFill="1" applyBorder="1" applyAlignment="1" applyProtection="1">
      <alignment vertical="center" wrapText="1"/>
      <protection/>
    </xf>
    <xf numFmtId="199" fontId="52" fillId="0" borderId="19" xfId="75" applyNumberFormat="1" applyFont="1" applyBorder="1" applyAlignment="1">
      <alignment/>
    </xf>
    <xf numFmtId="0" fontId="104" fillId="0" borderId="20" xfId="0" applyFont="1" applyBorder="1" applyAlignment="1">
      <alignment/>
    </xf>
    <xf numFmtId="0" fontId="77" fillId="0" borderId="20" xfId="0" applyFont="1" applyBorder="1" applyAlignment="1">
      <alignment/>
    </xf>
    <xf numFmtId="174" fontId="5" fillId="0" borderId="0" xfId="126" applyNumberFormat="1" applyFont="1" applyFill="1" applyBorder="1" applyAlignment="1" applyProtection="1">
      <alignment horizontal="center" vertical="center"/>
      <protection/>
    </xf>
    <xf numFmtId="174" fontId="5" fillId="0" borderId="40" xfId="126" applyNumberFormat="1" applyFont="1" applyFill="1" applyBorder="1" applyAlignment="1" applyProtection="1">
      <alignment horizontal="center" vertical="center"/>
      <protection/>
    </xf>
    <xf numFmtId="174" fontId="5" fillId="0" borderId="84" xfId="126" applyNumberFormat="1" applyFont="1" applyFill="1" applyBorder="1" applyAlignment="1" applyProtection="1">
      <alignment horizontal="center" vertical="center"/>
      <protection/>
    </xf>
    <xf numFmtId="174" fontId="5" fillId="0" borderId="47" xfId="126" applyNumberFormat="1" applyFont="1" applyFill="1" applyBorder="1" applyAlignment="1" applyProtection="1">
      <alignment horizontal="center" vertical="center"/>
      <protection/>
    </xf>
    <xf numFmtId="0" fontId="5" fillId="0" borderId="0" xfId="126" applyFont="1" applyFill="1" applyAlignment="1" applyProtection="1">
      <alignment horizontal="center"/>
      <protection/>
    </xf>
    <xf numFmtId="0" fontId="5" fillId="0" borderId="59" xfId="126" applyFont="1" applyFill="1" applyBorder="1" applyAlignment="1" applyProtection="1">
      <alignment horizontal="center" vertical="center" wrapText="1"/>
      <protection/>
    </xf>
    <xf numFmtId="0" fontId="5" fillId="0" borderId="63" xfId="126" applyFont="1" applyFill="1" applyBorder="1" applyAlignment="1" applyProtection="1">
      <alignment horizontal="center" vertical="center" wrapText="1"/>
      <protection/>
    </xf>
    <xf numFmtId="0" fontId="5" fillId="0" borderId="53" xfId="126" applyFont="1" applyFill="1" applyBorder="1" applyAlignment="1" applyProtection="1">
      <alignment horizontal="center" vertical="center" wrapText="1"/>
      <protection/>
    </xf>
    <xf numFmtId="0" fontId="5" fillId="0" borderId="49" xfId="126" applyFont="1" applyFill="1" applyBorder="1" applyAlignment="1" applyProtection="1">
      <alignment horizontal="center" vertical="center" wrapText="1"/>
      <protection/>
    </xf>
    <xf numFmtId="174" fontId="6" fillId="0" borderId="34" xfId="0" applyNumberFormat="1" applyFont="1" applyFill="1" applyBorder="1" applyAlignment="1" applyProtection="1">
      <alignment horizontal="center" vertical="center" wrapText="1"/>
      <protection/>
    </xf>
    <xf numFmtId="174" fontId="6" fillId="0" borderId="32" xfId="0" applyNumberFormat="1" applyFont="1" applyFill="1" applyBorder="1" applyAlignment="1" applyProtection="1">
      <alignment horizontal="center" vertical="center" wrapText="1"/>
      <protection/>
    </xf>
    <xf numFmtId="174" fontId="7" fillId="0" borderId="0" xfId="0" applyNumberFormat="1" applyFont="1" applyFill="1" applyAlignment="1" applyProtection="1">
      <alignment horizontal="left" vertical="top" textRotation="180" wrapText="1"/>
      <protection/>
    </xf>
    <xf numFmtId="174" fontId="7" fillId="0" borderId="71" xfId="0" applyNumberFormat="1" applyFont="1" applyFill="1" applyBorder="1" applyAlignment="1" applyProtection="1">
      <alignment horizontal="center" textRotation="180" wrapText="1"/>
      <protection/>
    </xf>
    <xf numFmtId="174" fontId="6" fillId="0" borderId="35" xfId="0" applyNumberFormat="1" applyFont="1" applyFill="1" applyBorder="1" applyAlignment="1" applyProtection="1">
      <alignment horizontal="center" vertical="center" wrapText="1"/>
      <protection/>
    </xf>
    <xf numFmtId="174" fontId="6" fillId="0" borderId="44" xfId="0" applyNumberFormat="1" applyFont="1" applyFill="1" applyBorder="1" applyAlignment="1" applyProtection="1">
      <alignment horizontal="center" vertical="center" wrapText="1"/>
      <protection/>
    </xf>
    <xf numFmtId="174" fontId="7" fillId="0" borderId="71" xfId="0" applyNumberFormat="1" applyFont="1" applyFill="1" applyBorder="1" applyAlignment="1" applyProtection="1">
      <alignment horizontal="center" vertical="top" textRotation="180" wrapText="1"/>
      <protection locked="0"/>
    </xf>
    <xf numFmtId="174" fontId="7" fillId="0" borderId="71" xfId="0" applyNumberFormat="1" applyFont="1" applyFill="1" applyBorder="1" applyAlignment="1" applyProtection="1">
      <alignment horizontal="center" textRotation="180" wrapText="1"/>
      <protection locked="0"/>
    </xf>
    <xf numFmtId="174" fontId="4" fillId="0" borderId="28" xfId="0" applyNumberFormat="1" applyFont="1" applyFill="1" applyBorder="1" applyAlignment="1" applyProtection="1">
      <alignment horizontal="right" wrapText="1"/>
      <protection/>
    </xf>
    <xf numFmtId="17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74" fontId="7" fillId="0" borderId="0" xfId="0" applyNumberFormat="1" applyFont="1" applyFill="1" applyBorder="1" applyAlignment="1">
      <alignment horizontal="center" vertical="top" textRotation="180" wrapText="1"/>
    </xf>
    <xf numFmtId="174" fontId="7" fillId="0" borderId="71" xfId="0" applyNumberFormat="1" applyFont="1" applyFill="1" applyBorder="1" applyAlignment="1">
      <alignment horizontal="center" vertical="top" textRotation="180" wrapText="1"/>
    </xf>
    <xf numFmtId="174" fontId="7" fillId="0" borderId="0" xfId="0" applyNumberFormat="1" applyFont="1" applyFill="1" applyBorder="1" applyAlignment="1">
      <alignment horizontal="center" textRotation="180" wrapText="1"/>
    </xf>
    <xf numFmtId="174" fontId="12" fillId="0" borderId="30" xfId="0" applyNumberFormat="1" applyFont="1" applyFill="1" applyBorder="1" applyAlignment="1">
      <alignment horizontal="center" vertical="center" wrapText="1"/>
    </xf>
    <xf numFmtId="174" fontId="12" fillId="0" borderId="30" xfId="0" applyNumberFormat="1" applyFont="1" applyFill="1" applyBorder="1" applyAlignment="1">
      <alignment horizontal="center" vertical="center"/>
    </xf>
    <xf numFmtId="174" fontId="6" fillId="0" borderId="30" xfId="0" applyNumberFormat="1" applyFont="1" applyFill="1" applyBorder="1" applyAlignment="1">
      <alignment horizontal="center" vertical="center" wrapText="1"/>
    </xf>
    <xf numFmtId="174" fontId="6" fillId="0" borderId="30" xfId="0" applyNumberFormat="1" applyFont="1" applyFill="1" applyBorder="1" applyAlignment="1">
      <alignment horizontal="center" vertical="center" wrapText="1"/>
    </xf>
    <xf numFmtId="174" fontId="6" fillId="0" borderId="34" xfId="0" applyNumberFormat="1" applyFont="1" applyFill="1" applyBorder="1" applyAlignment="1">
      <alignment horizontal="center" vertical="center" wrapText="1"/>
    </xf>
    <xf numFmtId="174" fontId="6" fillId="0" borderId="72" xfId="0" applyNumberFormat="1" applyFont="1" applyFill="1" applyBorder="1" applyAlignment="1">
      <alignment horizontal="center" vertical="center" wrapText="1"/>
    </xf>
    <xf numFmtId="181" fontId="27" fillId="0" borderId="41" xfId="0" applyNumberFormat="1" applyFont="1" applyFill="1" applyBorder="1" applyAlignment="1">
      <alignment horizontal="left" vertical="center" wrapText="1"/>
    </xf>
    <xf numFmtId="174" fontId="6" fillId="0" borderId="102" xfId="0" applyNumberFormat="1" applyFont="1" applyFill="1" applyBorder="1" applyAlignment="1">
      <alignment horizontal="center" vertical="center"/>
    </xf>
    <xf numFmtId="174" fontId="6" fillId="0" borderId="71" xfId="0" applyNumberFormat="1" applyFont="1" applyFill="1" applyBorder="1" applyAlignment="1">
      <alignment horizontal="center" vertical="center"/>
    </xf>
    <xf numFmtId="174" fontId="6" fillId="0" borderId="31" xfId="0" applyNumberFormat="1" applyFont="1" applyFill="1" applyBorder="1" applyAlignment="1">
      <alignment horizontal="center" vertical="center"/>
    </xf>
    <xf numFmtId="174" fontId="5" fillId="0" borderId="0" xfId="0" applyNumberFormat="1" applyFont="1" applyFill="1" applyAlignment="1">
      <alignment horizontal="left" vertical="center" wrapText="1"/>
    </xf>
    <xf numFmtId="174" fontId="4" fillId="0" borderId="28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textRotation="180"/>
    </xf>
    <xf numFmtId="0" fontId="7" fillId="0" borderId="71" xfId="0" applyFont="1" applyFill="1" applyBorder="1" applyAlignment="1">
      <alignment horizontal="center" textRotation="180"/>
    </xf>
    <xf numFmtId="174" fontId="3" fillId="0" borderId="40" xfId="0" applyNumberFormat="1" applyFont="1" applyFill="1" applyBorder="1" applyAlignment="1">
      <alignment horizontal="left" vertical="center" wrapText="1" indent="2"/>
    </xf>
    <xf numFmtId="174" fontId="3" fillId="0" borderId="84" xfId="0" applyNumberFormat="1" applyFont="1" applyFill="1" applyBorder="1" applyAlignment="1">
      <alignment horizontal="left" vertical="center" wrapText="1" indent="2"/>
    </xf>
    <xf numFmtId="174" fontId="0" fillId="0" borderId="33" xfId="0" applyNumberFormat="1" applyFill="1" applyBorder="1" applyAlignment="1" applyProtection="1">
      <alignment horizontal="left" vertical="center" wrapText="1"/>
      <protection locked="0"/>
    </xf>
    <xf numFmtId="174" fontId="0" fillId="0" borderId="54" xfId="0" applyNumberFormat="1" applyFill="1" applyBorder="1" applyAlignment="1" applyProtection="1">
      <alignment horizontal="left" vertical="center" wrapText="1"/>
      <protection locked="0"/>
    </xf>
    <xf numFmtId="174" fontId="0" fillId="0" borderId="77" xfId="0" applyNumberFormat="1" applyFill="1" applyBorder="1" applyAlignment="1" applyProtection="1">
      <alignment horizontal="left" vertical="center" wrapText="1"/>
      <protection locked="0"/>
    </xf>
    <xf numFmtId="174" fontId="0" fillId="0" borderId="98" xfId="0" applyNumberFormat="1" applyFill="1" applyBorder="1" applyAlignment="1" applyProtection="1">
      <alignment horizontal="left" vertical="center" wrapText="1"/>
      <protection locked="0"/>
    </xf>
    <xf numFmtId="174" fontId="3" fillId="0" borderId="40" xfId="0" applyNumberFormat="1" applyFont="1" applyFill="1" applyBorder="1" applyAlignment="1">
      <alignment horizontal="center" vertical="center" wrapText="1"/>
    </xf>
    <xf numFmtId="174" fontId="3" fillId="0" borderId="84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6" fillId="0" borderId="84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84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84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38" fillId="0" borderId="28" xfId="0" applyFont="1" applyBorder="1" applyAlignment="1" applyProtection="1">
      <alignment horizontal="left" vertical="top"/>
      <protection/>
    </xf>
    <xf numFmtId="0" fontId="6" fillId="0" borderId="53" xfId="0" applyFont="1" applyFill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 applyProtection="1">
      <alignment horizontal="center" vertical="center"/>
      <protection locked="0"/>
    </xf>
    <xf numFmtId="0" fontId="6" fillId="0" borderId="55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98" xfId="0" applyFont="1" applyFill="1" applyBorder="1" applyAlignment="1" applyProtection="1">
      <alignment horizontal="center" vertical="center"/>
      <protection/>
    </xf>
    <xf numFmtId="0" fontId="6" fillId="0" borderId="78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38" fillId="0" borderId="28" xfId="0" applyFont="1" applyBorder="1" applyAlignment="1" applyProtection="1">
      <alignment horizontal="left" vertical="top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84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5" fillId="0" borderId="102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0" fillId="0" borderId="84" xfId="0" applyBorder="1" applyAlignment="1">
      <alignment/>
    </xf>
    <xf numFmtId="0" fontId="0" fillId="0" borderId="47" xfId="0" applyBorder="1" applyAlignment="1">
      <alignment/>
    </xf>
    <xf numFmtId="0" fontId="52" fillId="0" borderId="19" xfId="0" applyFont="1" applyBorder="1" applyAlignment="1">
      <alignment horizontal="center"/>
    </xf>
    <xf numFmtId="0" fontId="19" fillId="0" borderId="34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right"/>
    </xf>
    <xf numFmtId="0" fontId="29" fillId="0" borderId="59" xfId="126" applyFont="1" applyFill="1" applyBorder="1" applyAlignment="1" applyProtection="1">
      <alignment horizontal="center"/>
      <protection/>
    </xf>
    <xf numFmtId="0" fontId="29" fillId="0" borderId="48" xfId="126" applyFont="1" applyFill="1" applyBorder="1" applyAlignment="1" applyProtection="1">
      <alignment horizontal="center"/>
      <protection/>
    </xf>
    <xf numFmtId="0" fontId="29" fillId="0" borderId="75" xfId="126" applyFont="1" applyFill="1" applyBorder="1" applyAlignment="1" applyProtection="1">
      <alignment horizontal="center"/>
      <protection/>
    </xf>
    <xf numFmtId="0" fontId="29" fillId="41" borderId="103" xfId="126" applyFont="1" applyFill="1" applyBorder="1" applyAlignment="1" applyProtection="1">
      <alignment horizontal="center"/>
      <protection/>
    </xf>
    <xf numFmtId="0" fontId="29" fillId="41" borderId="74" xfId="126" applyFont="1" applyFill="1" applyBorder="1" applyAlignment="1" applyProtection="1">
      <alignment horizontal="center"/>
      <protection/>
    </xf>
    <xf numFmtId="0" fontId="29" fillId="0" borderId="59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29" fillId="0" borderId="75" xfId="0" applyFont="1" applyBorder="1" applyAlignment="1">
      <alignment horizontal="center"/>
    </xf>
    <xf numFmtId="0" fontId="29" fillId="0" borderId="33" xfId="126" applyFont="1" applyFill="1" applyBorder="1" applyAlignment="1" applyProtection="1">
      <alignment horizontal="center" wrapText="1"/>
      <protection/>
    </xf>
    <xf numFmtId="0" fontId="29" fillId="0" borderId="54" xfId="126" applyFont="1" applyFill="1" applyBorder="1" applyAlignment="1" applyProtection="1">
      <alignment horizontal="center" wrapText="1"/>
      <protection/>
    </xf>
    <xf numFmtId="0" fontId="29" fillId="0" borderId="55" xfId="126" applyFont="1" applyFill="1" applyBorder="1" applyAlignment="1" applyProtection="1">
      <alignment horizontal="center" wrapText="1"/>
      <protection/>
    </xf>
    <xf numFmtId="174" fontId="7" fillId="0" borderId="71" xfId="0" applyNumberFormat="1" applyFont="1" applyFill="1" applyBorder="1" applyAlignment="1">
      <alignment horizontal="center" textRotation="180" wrapText="1"/>
    </xf>
    <xf numFmtId="174" fontId="6" fillId="0" borderId="101" xfId="0" applyNumberFormat="1" applyFont="1" applyFill="1" applyBorder="1" applyAlignment="1" applyProtection="1">
      <alignment horizontal="center" vertical="center" wrapText="1"/>
      <protection/>
    </xf>
    <xf numFmtId="174" fontId="6" fillId="0" borderId="76" xfId="0" applyNumberFormat="1" applyFont="1" applyFill="1" applyBorder="1" applyAlignment="1" applyProtection="1">
      <alignment horizontal="center" vertical="center" wrapText="1"/>
      <protection/>
    </xf>
    <xf numFmtId="174" fontId="6" fillId="0" borderId="66" xfId="0" applyNumberFormat="1" applyFont="1" applyFill="1" applyBorder="1" applyAlignment="1" applyProtection="1">
      <alignment horizontal="center" vertical="center" wrapText="1"/>
      <protection/>
    </xf>
    <xf numFmtId="174" fontId="6" fillId="0" borderId="70" xfId="0" applyNumberFormat="1" applyFont="1" applyFill="1" applyBorder="1" applyAlignment="1" applyProtection="1">
      <alignment horizontal="center" vertical="center"/>
      <protection/>
    </xf>
    <xf numFmtId="174" fontId="6" fillId="0" borderId="70" xfId="0" applyNumberFormat="1" applyFont="1" applyFill="1" applyBorder="1" applyAlignment="1" applyProtection="1">
      <alignment horizontal="center" vertical="center" wrapText="1"/>
      <protection/>
    </xf>
    <xf numFmtId="174" fontId="6" fillId="0" borderId="34" xfId="0" applyNumberFormat="1" applyFont="1" applyFill="1" applyBorder="1" applyAlignment="1" applyProtection="1">
      <alignment horizontal="center" vertical="center" wrapText="1"/>
      <protection/>
    </xf>
    <xf numFmtId="174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46" fillId="0" borderId="19" xfId="0" applyFont="1" applyBorder="1" applyAlignment="1">
      <alignment horizontal="center"/>
    </xf>
    <xf numFmtId="0" fontId="46" fillId="0" borderId="19" xfId="114" applyFont="1" applyBorder="1" applyAlignment="1">
      <alignment horizontal="left" vertical="top" wrapText="1"/>
      <protection/>
    </xf>
    <xf numFmtId="174" fontId="8" fillId="0" borderId="0" xfId="0" applyNumberFormat="1" applyFont="1" applyFill="1" applyAlignment="1">
      <alignment horizontal="center" textRotation="180" wrapText="1"/>
    </xf>
    <xf numFmtId="0" fontId="6" fillId="0" borderId="61" xfId="0" applyFont="1" applyFill="1" applyBorder="1" applyAlignment="1">
      <alignment horizontal="center"/>
    </xf>
    <xf numFmtId="0" fontId="6" fillId="0" borderId="84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85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 applyProtection="1">
      <alignment horizontal="left" vertical="center"/>
      <protection/>
    </xf>
    <xf numFmtId="0" fontId="12" fillId="0" borderId="50" xfId="0" applyFont="1" applyFill="1" applyBorder="1" applyAlignment="1" applyProtection="1">
      <alignment horizontal="left" vertical="center"/>
      <protection/>
    </xf>
    <xf numFmtId="0" fontId="6" fillId="0" borderId="102" xfId="0" applyFont="1" applyFill="1" applyBorder="1" applyAlignment="1" applyProtection="1">
      <alignment horizontal="left" vertical="center" wrapText="1"/>
      <protection/>
    </xf>
    <xf numFmtId="0" fontId="6" fillId="0" borderId="41" xfId="0" applyFont="1" applyFill="1" applyBorder="1" applyAlignment="1" applyProtection="1">
      <alignment horizontal="left" vertical="center" wrapText="1"/>
      <protection/>
    </xf>
    <xf numFmtId="0" fontId="6" fillId="0" borderId="85" xfId="0" applyFont="1" applyFill="1" applyBorder="1" applyAlignment="1" applyProtection="1">
      <alignment horizontal="left" vertical="center" wrapText="1"/>
      <protection/>
    </xf>
    <xf numFmtId="0" fontId="3" fillId="0" borderId="40" xfId="0" applyFont="1" applyFill="1" applyBorder="1" applyAlignment="1" applyProtection="1">
      <alignment horizontal="left" vertical="center"/>
      <protection/>
    </xf>
    <xf numFmtId="0" fontId="3" fillId="0" borderId="5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28" xfId="0" applyFont="1" applyFill="1" applyBorder="1" applyAlignment="1">
      <alignment horizontal="right"/>
    </xf>
    <xf numFmtId="0" fontId="6" fillId="0" borderId="10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01" fillId="44" borderId="29" xfId="0" applyFont="1" applyFill="1" applyBorder="1" applyAlignment="1">
      <alignment horizontal="left"/>
    </xf>
    <xf numFmtId="0" fontId="101" fillId="44" borderId="67" xfId="0" applyFont="1" applyFill="1" applyBorder="1" applyAlignment="1">
      <alignment horizontal="left"/>
    </xf>
    <xf numFmtId="0" fontId="30" fillId="0" borderId="40" xfId="128" applyFont="1" applyFill="1" applyBorder="1" applyAlignment="1" applyProtection="1">
      <alignment horizontal="center" wrapText="1"/>
      <protection/>
    </xf>
    <xf numFmtId="0" fontId="30" fillId="0" borderId="47" xfId="128" applyFont="1" applyFill="1" applyBorder="1" applyAlignment="1" applyProtection="1">
      <alignment horizontal="center" wrapText="1"/>
      <protection/>
    </xf>
    <xf numFmtId="0" fontId="30" fillId="0" borderId="59" xfId="128" applyFont="1" applyFill="1" applyBorder="1" applyAlignment="1" applyProtection="1">
      <alignment horizontal="center" vertical="center" wrapText="1"/>
      <protection/>
    </xf>
    <xf numFmtId="0" fontId="30" fillId="0" borderId="21" xfId="128" applyFont="1" applyFill="1" applyBorder="1" applyAlignment="1" applyProtection="1">
      <alignment horizontal="center" vertical="center" wrapText="1"/>
      <protection/>
    </xf>
    <xf numFmtId="0" fontId="30" fillId="0" borderId="75" xfId="128" applyFont="1" applyFill="1" applyBorder="1" applyAlignment="1" applyProtection="1">
      <alignment horizontal="center" vertical="center" wrapText="1"/>
      <protection/>
    </xf>
    <xf numFmtId="0" fontId="30" fillId="0" borderId="65" xfId="128" applyFont="1" applyFill="1" applyBorder="1" applyAlignment="1" applyProtection="1">
      <alignment horizontal="center" vertical="center" wrapText="1"/>
      <protection/>
    </xf>
    <xf numFmtId="0" fontId="30" fillId="0" borderId="59" xfId="128" applyFont="1" applyFill="1" applyBorder="1" applyAlignment="1" applyProtection="1">
      <alignment horizontal="center" wrapText="1"/>
      <protection/>
    </xf>
    <xf numFmtId="0" fontId="30" fillId="0" borderId="74" xfId="128" applyFont="1" applyFill="1" applyBorder="1" applyAlignment="1" applyProtection="1">
      <alignment horizontal="center" wrapText="1"/>
      <protection/>
    </xf>
    <xf numFmtId="0" fontId="30" fillId="0" borderId="0" xfId="128" applyFont="1" applyFill="1" applyBorder="1" applyAlignment="1" applyProtection="1">
      <alignment horizontal="right"/>
      <protection/>
    </xf>
    <xf numFmtId="0" fontId="20" fillId="0" borderId="60" xfId="127" applyFont="1" applyFill="1" applyBorder="1" applyAlignment="1" applyProtection="1">
      <alignment horizontal="center" vertical="center" textRotation="90"/>
      <protection/>
    </xf>
    <xf numFmtId="0" fontId="20" fillId="0" borderId="92" xfId="127" applyFont="1" applyFill="1" applyBorder="1" applyAlignment="1" applyProtection="1">
      <alignment horizontal="center" vertical="center" textRotation="90"/>
      <protection/>
    </xf>
    <xf numFmtId="0" fontId="30" fillId="0" borderId="42" xfId="128" applyFont="1" applyFill="1" applyBorder="1" applyAlignment="1" applyProtection="1">
      <alignment horizontal="center" vertical="center" wrapText="1"/>
      <protection/>
    </xf>
    <xf numFmtId="0" fontId="30" fillId="0" borderId="64" xfId="128" applyFont="1" applyFill="1" applyBorder="1" applyAlignment="1" applyProtection="1">
      <alignment horizontal="center" vertical="center" wrapText="1"/>
      <protection/>
    </xf>
    <xf numFmtId="0" fontId="30" fillId="0" borderId="25" xfId="128" applyFont="1" applyFill="1" applyBorder="1" applyAlignment="1" applyProtection="1">
      <alignment horizontal="center" wrapText="1"/>
      <protection/>
    </xf>
    <xf numFmtId="0" fontId="30" fillId="0" borderId="23" xfId="128" applyFont="1" applyFill="1" applyBorder="1" applyAlignment="1" applyProtection="1">
      <alignment horizontal="center" wrapText="1"/>
      <protection/>
    </xf>
    <xf numFmtId="0" fontId="28" fillId="0" borderId="0" xfId="128" applyFont="1" applyFill="1" applyAlignment="1" applyProtection="1">
      <alignment horizontal="left"/>
      <protection/>
    </xf>
    <xf numFmtId="0" fontId="30" fillId="0" borderId="92" xfId="128" applyFont="1" applyFill="1" applyBorder="1" applyAlignment="1" applyProtection="1">
      <alignment horizontal="center" vertical="center" wrapText="1"/>
      <protection/>
    </xf>
    <xf numFmtId="0" fontId="30" fillId="0" borderId="62" xfId="128" applyFont="1" applyFill="1" applyBorder="1" applyAlignment="1" applyProtection="1">
      <alignment horizontal="center" vertical="center" wrapText="1"/>
      <protection/>
    </xf>
    <xf numFmtId="0" fontId="30" fillId="43" borderId="59" xfId="128" applyFont="1" applyFill="1" applyBorder="1" applyAlignment="1" applyProtection="1">
      <alignment horizontal="center" vertical="center" wrapText="1"/>
      <protection/>
    </xf>
    <xf numFmtId="0" fontId="30" fillId="43" borderId="21" xfId="128" applyFont="1" applyFill="1" applyBorder="1" applyAlignment="1" applyProtection="1">
      <alignment horizontal="center" vertical="center" wrapText="1"/>
      <protection/>
    </xf>
    <xf numFmtId="0" fontId="30" fillId="43" borderId="75" xfId="128" applyFont="1" applyFill="1" applyBorder="1" applyAlignment="1" applyProtection="1">
      <alignment horizontal="center" vertical="center" wrapText="1"/>
      <protection/>
    </xf>
    <xf numFmtId="0" fontId="30" fillId="43" borderId="65" xfId="128" applyFont="1" applyFill="1" applyBorder="1" applyAlignment="1" applyProtection="1">
      <alignment horizontal="center" vertical="center" wrapText="1"/>
      <protection/>
    </xf>
    <xf numFmtId="0" fontId="30" fillId="0" borderId="45" xfId="128" applyFont="1" applyFill="1" applyBorder="1" applyAlignment="1" applyProtection="1">
      <alignment horizontal="center" wrapText="1"/>
      <protection/>
    </xf>
    <xf numFmtId="0" fontId="30" fillId="43" borderId="59" xfId="128" applyFont="1" applyFill="1" applyBorder="1" applyAlignment="1" applyProtection="1">
      <alignment horizontal="center" wrapText="1"/>
      <protection/>
    </xf>
    <xf numFmtId="0" fontId="30" fillId="43" borderId="74" xfId="128" applyFont="1" applyFill="1" applyBorder="1" applyAlignment="1" applyProtection="1">
      <alignment horizontal="center" wrapText="1"/>
      <protection/>
    </xf>
    <xf numFmtId="0" fontId="29" fillId="0" borderId="0" xfId="128" applyFont="1" applyFill="1" applyAlignment="1" applyProtection="1">
      <alignment horizontal="center" vertical="center" wrapText="1"/>
      <protection/>
    </xf>
    <xf numFmtId="0" fontId="31" fillId="0" borderId="101" xfId="128" applyFont="1" applyFill="1" applyBorder="1" applyAlignment="1" applyProtection="1">
      <alignment horizontal="center" vertical="center" wrapText="1"/>
      <protection/>
    </xf>
    <xf numFmtId="0" fontId="31" fillId="0" borderId="73" xfId="128" applyFont="1" applyFill="1" applyBorder="1" applyAlignment="1" applyProtection="1">
      <alignment horizontal="center" vertical="center" wrapText="1"/>
      <protection/>
    </xf>
    <xf numFmtId="0" fontId="31" fillId="0" borderId="42" xfId="128" applyFont="1" applyFill="1" applyBorder="1" applyAlignment="1" applyProtection="1">
      <alignment horizontal="center" vertical="center" wrapText="1"/>
      <protection/>
    </xf>
    <xf numFmtId="0" fontId="30" fillId="0" borderId="61" xfId="128" applyFont="1" applyFill="1" applyBorder="1" applyAlignment="1" applyProtection="1">
      <alignment horizontal="center" wrapText="1"/>
      <protection/>
    </xf>
    <xf numFmtId="0" fontId="30" fillId="43" borderId="50" xfId="128" applyFont="1" applyFill="1" applyBorder="1" applyAlignment="1" applyProtection="1">
      <alignment horizontal="center" wrapText="1"/>
      <protection/>
    </xf>
    <xf numFmtId="0" fontId="30" fillId="43" borderId="23" xfId="128" applyFont="1" applyFill="1" applyBorder="1" applyAlignment="1" applyProtection="1">
      <alignment horizontal="center" wrapText="1"/>
      <protection/>
    </xf>
    <xf numFmtId="0" fontId="53" fillId="0" borderId="92" xfId="127" applyFont="1" applyFill="1" applyBorder="1" applyAlignment="1" applyProtection="1">
      <alignment horizontal="center" vertical="center" wrapText="1"/>
      <protection/>
    </xf>
    <xf numFmtId="0" fontId="53" fillId="0" borderId="29" xfId="127" applyFont="1" applyFill="1" applyBorder="1" applyAlignment="1" applyProtection="1">
      <alignment horizontal="center" vertical="center"/>
      <protection/>
    </xf>
    <xf numFmtId="0" fontId="53" fillId="43" borderId="43" xfId="127" applyFont="1" applyFill="1" applyBorder="1" applyAlignment="1" applyProtection="1">
      <alignment horizontal="center" vertical="center" wrapText="1"/>
      <protection/>
    </xf>
    <xf numFmtId="0" fontId="53" fillId="43" borderId="37" xfId="127" applyFont="1" applyFill="1" applyBorder="1" applyAlignment="1" applyProtection="1">
      <alignment horizontal="center" vertical="center"/>
      <protection/>
    </xf>
    <xf numFmtId="0" fontId="28" fillId="0" borderId="0" xfId="128" applyFont="1" applyFill="1" applyAlignment="1" applyProtection="1">
      <alignment horizontal="center"/>
      <protection/>
    </xf>
    <xf numFmtId="0" fontId="20" fillId="0" borderId="0" xfId="127" applyFont="1" applyFill="1" applyBorder="1" applyAlignment="1" applyProtection="1">
      <alignment horizontal="right" vertical="center"/>
      <protection/>
    </xf>
    <xf numFmtId="0" fontId="53" fillId="0" borderId="64" xfId="127" applyFont="1" applyFill="1" applyBorder="1" applyAlignment="1" applyProtection="1">
      <alignment horizontal="center" vertical="center" wrapText="1"/>
      <protection/>
    </xf>
    <xf numFmtId="0" fontId="53" fillId="0" borderId="26" xfId="127" applyFont="1" applyFill="1" applyBorder="1" applyAlignment="1" applyProtection="1">
      <alignment horizontal="center" vertical="center"/>
      <protection/>
    </xf>
    <xf numFmtId="0" fontId="5" fillId="0" borderId="0" xfId="127" applyFont="1" applyFill="1" applyAlignment="1" applyProtection="1">
      <alignment horizontal="center" vertical="center" wrapText="1"/>
      <protection/>
    </xf>
    <xf numFmtId="0" fontId="3" fillId="0" borderId="0" xfId="127" applyFont="1" applyFill="1" applyAlignment="1" applyProtection="1">
      <alignment horizontal="center" vertical="center" wrapText="1"/>
      <protection/>
    </xf>
    <xf numFmtId="0" fontId="5" fillId="0" borderId="101" xfId="127" applyFont="1" applyFill="1" applyBorder="1" applyAlignment="1" applyProtection="1">
      <alignment horizontal="center" vertical="center" wrapText="1"/>
      <protection/>
    </xf>
    <xf numFmtId="0" fontId="5" fillId="0" borderId="73" xfId="127" applyFont="1" applyFill="1" applyBorder="1" applyAlignment="1" applyProtection="1">
      <alignment horizontal="center" vertical="center" wrapText="1"/>
      <protection/>
    </xf>
    <xf numFmtId="0" fontId="5" fillId="0" borderId="42" xfId="127" applyFont="1" applyFill="1" applyBorder="1" applyAlignment="1" applyProtection="1">
      <alignment horizontal="center" vertical="center" wrapText="1"/>
      <protection/>
    </xf>
    <xf numFmtId="0" fontId="53" fillId="0" borderId="66" xfId="127" applyFont="1" applyFill="1" applyBorder="1" applyAlignment="1" applyProtection="1">
      <alignment horizontal="center" vertical="center" textRotation="90"/>
      <protection/>
    </xf>
    <xf numFmtId="0" fontId="53" fillId="0" borderId="27" xfId="127" applyFont="1" applyFill="1" applyBorder="1" applyAlignment="1" applyProtection="1">
      <alignment horizontal="center" vertical="center" textRotation="90"/>
      <protection/>
    </xf>
    <xf numFmtId="0" fontId="53" fillId="0" borderId="46" xfId="127" applyFont="1" applyFill="1" applyBorder="1" applyAlignment="1" applyProtection="1">
      <alignment horizontal="center" vertical="center" textRotation="90"/>
      <protection/>
    </xf>
    <xf numFmtId="0" fontId="15" fillId="0" borderId="40" xfId="128" applyFont="1" applyFill="1" applyBorder="1" applyAlignment="1">
      <alignment horizontal="left"/>
      <protection/>
    </xf>
    <xf numFmtId="0" fontId="15" fillId="0" borderId="84" xfId="128" applyFont="1" applyFill="1" applyBorder="1" applyAlignment="1">
      <alignment horizontal="left"/>
      <protection/>
    </xf>
    <xf numFmtId="0" fontId="15" fillId="0" borderId="102" xfId="128" applyFont="1" applyFill="1" applyBorder="1" applyAlignment="1">
      <alignment horizontal="center" vertical="center"/>
      <protection/>
    </xf>
    <xf numFmtId="0" fontId="15" fillId="0" borderId="31" xfId="128" applyFont="1" applyFill="1" applyBorder="1" applyAlignment="1">
      <alignment horizontal="center" vertical="center"/>
      <protection/>
    </xf>
    <xf numFmtId="0" fontId="20" fillId="0" borderId="34" xfId="127" applyFont="1" applyFill="1" applyBorder="1" applyAlignment="1" applyProtection="1">
      <alignment horizontal="center" vertical="center" textRotation="90"/>
      <protection/>
    </xf>
    <xf numFmtId="0" fontId="20" fillId="0" borderId="32" xfId="127" applyFont="1" applyFill="1" applyBorder="1" applyAlignment="1" applyProtection="1">
      <alignment horizontal="center" vertical="center" textRotation="90"/>
      <protection/>
    </xf>
    <xf numFmtId="0" fontId="29" fillId="0" borderId="0" xfId="128" applyFont="1" applyFill="1" applyAlignment="1">
      <alignment horizontal="center" vertical="center" wrapText="1"/>
      <protection/>
    </xf>
    <xf numFmtId="0" fontId="29" fillId="0" borderId="0" xfId="128" applyFont="1" applyFill="1" applyAlignment="1">
      <alignment horizontal="center" wrapText="1"/>
      <protection/>
    </xf>
    <xf numFmtId="0" fontId="42" fillId="0" borderId="0" xfId="0" applyFont="1" applyAlignment="1">
      <alignment horizontal="center"/>
    </xf>
    <xf numFmtId="0" fontId="45" fillId="0" borderId="24" xfId="0" applyFont="1" applyBorder="1" applyAlignment="1">
      <alignment horizontal="center" wrapText="1"/>
    </xf>
    <xf numFmtId="0" fontId="0" fillId="0" borderId="46" xfId="0" applyBorder="1" applyAlignment="1">
      <alignment/>
    </xf>
    <xf numFmtId="0" fontId="45" fillId="0" borderId="24" xfId="0" applyFont="1" applyBorder="1" applyAlignment="1">
      <alignment/>
    </xf>
    <xf numFmtId="0" fontId="45" fillId="0" borderId="46" xfId="0" applyFont="1" applyBorder="1" applyAlignment="1">
      <alignment/>
    </xf>
    <xf numFmtId="0" fontId="45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6" fillId="0" borderId="0" xfId="0" applyFont="1" applyAlignment="1" applyProtection="1">
      <alignment horizontal="center" vertical="center" wrapText="1"/>
      <protection locked="0"/>
    </xf>
    <xf numFmtId="0" fontId="34" fillId="0" borderId="25" xfId="0" applyFont="1" applyBorder="1" applyAlignment="1" applyProtection="1">
      <alignment wrapText="1"/>
      <protection/>
    </xf>
    <xf numFmtId="0" fontId="34" fillId="0" borderId="22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52" fillId="41" borderId="33" xfId="0" applyFont="1" applyFill="1" applyBorder="1" applyAlignment="1">
      <alignment horizontal="center" vertical="center"/>
    </xf>
    <xf numFmtId="0" fontId="52" fillId="41" borderId="55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2" fillId="0" borderId="54" xfId="0" applyFont="1" applyFill="1" applyBorder="1" applyAlignment="1">
      <alignment horizontal="center" vertical="center"/>
    </xf>
    <xf numFmtId="0" fontId="52" fillId="0" borderId="55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52" fillId="0" borderId="33" xfId="111" applyFont="1" applyBorder="1" applyAlignment="1">
      <alignment horizontal="center" vertical="center"/>
      <protection/>
    </xf>
    <xf numFmtId="0" fontId="52" fillId="0" borderId="54" xfId="111" applyFont="1" applyBorder="1" applyAlignment="1">
      <alignment horizontal="center" vertical="center"/>
      <protection/>
    </xf>
    <xf numFmtId="0" fontId="52" fillId="0" borderId="55" xfId="111" applyFont="1" applyBorder="1" applyAlignment="1">
      <alignment horizontal="center" vertical="center"/>
      <protection/>
    </xf>
    <xf numFmtId="0" fontId="52" fillId="0" borderId="33" xfId="0" applyFont="1" applyFill="1" applyBorder="1" applyAlignment="1">
      <alignment horizontal="center" vertical="center" wrapText="1"/>
    </xf>
    <xf numFmtId="0" fontId="52" fillId="0" borderId="54" xfId="0" applyFont="1" applyFill="1" applyBorder="1" applyAlignment="1">
      <alignment horizontal="center" vertical="center" wrapText="1"/>
    </xf>
    <xf numFmtId="0" fontId="52" fillId="0" borderId="55" xfId="0" applyFont="1" applyFill="1" applyBorder="1" applyAlignment="1">
      <alignment horizontal="center" vertical="center" wrapText="1"/>
    </xf>
  </cellXfs>
  <cellStyles count="13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cel Built-in Normal" xfId="73"/>
    <cellStyle name="Explanatory Text" xfId="74"/>
    <cellStyle name="Comma" xfId="75"/>
    <cellStyle name="Comma [0]" xfId="76"/>
    <cellStyle name="Ezres 2" xfId="77"/>
    <cellStyle name="Ezres 2 2" xfId="78"/>
    <cellStyle name="Ezres 2 3" xfId="79"/>
    <cellStyle name="Ezres 2 4" xfId="80"/>
    <cellStyle name="Ezres 3" xfId="81"/>
    <cellStyle name="Ezres 3 2" xfId="82"/>
    <cellStyle name="Ezres 3 3" xfId="83"/>
    <cellStyle name="Ezres 4" xfId="84"/>
    <cellStyle name="Ezres 4 2" xfId="85"/>
    <cellStyle name="Ezres 5" xfId="86"/>
    <cellStyle name="Ezres 5 2" xfId="87"/>
    <cellStyle name="Ezres 6" xfId="88"/>
    <cellStyle name="Ezres 7" xfId="89"/>
    <cellStyle name="Figyelmeztetés" xfId="90"/>
    <cellStyle name="Good" xfId="91"/>
    <cellStyle name="Heading 1" xfId="92"/>
    <cellStyle name="Heading 2" xfId="93"/>
    <cellStyle name="Heading 3" xfId="94"/>
    <cellStyle name="Heading 4" xfId="95"/>
    <cellStyle name="Hiperhivatkozás" xfId="96"/>
    <cellStyle name="Hyperlink" xfId="97"/>
    <cellStyle name="Hivatkozott cella" xfId="98"/>
    <cellStyle name="Input" xfId="99"/>
    <cellStyle name="Jegyzet" xfId="100"/>
    <cellStyle name="Jó" xfId="101"/>
    <cellStyle name="Kimenet" xfId="102"/>
    <cellStyle name="Followed Hyperlink" xfId="103"/>
    <cellStyle name="Linked Cell" xfId="104"/>
    <cellStyle name="Magyarázó szöveg" xfId="105"/>
    <cellStyle name="Már látott hiperhivatkozás" xfId="106"/>
    <cellStyle name="Neutral" xfId="107"/>
    <cellStyle name="Normál 2" xfId="108"/>
    <cellStyle name="Normál 2 2" xfId="109"/>
    <cellStyle name="Normál 2 3" xfId="110"/>
    <cellStyle name="Normál 3" xfId="111"/>
    <cellStyle name="Normál 3 2" xfId="112"/>
    <cellStyle name="Normál 3 3" xfId="113"/>
    <cellStyle name="Normál 4" xfId="114"/>
    <cellStyle name="Normál 4 2" xfId="115"/>
    <cellStyle name="Normál 4 3" xfId="116"/>
    <cellStyle name="Normál 4 4" xfId="117"/>
    <cellStyle name="Normál 5" xfId="118"/>
    <cellStyle name="Normál 5 2" xfId="119"/>
    <cellStyle name="Normál 6" xfId="120"/>
    <cellStyle name="Normál 7" xfId="121"/>
    <cellStyle name="Normál 7 2" xfId="122"/>
    <cellStyle name="Normál 8" xfId="123"/>
    <cellStyle name="Normál_12. mell-közvetett tám" xfId="124"/>
    <cellStyle name="Normal_KARSZJ3" xfId="125"/>
    <cellStyle name="Normál_KVRENMUNKA" xfId="126"/>
    <cellStyle name="Normál_VAGYONK" xfId="127"/>
    <cellStyle name="Normál_VAGYONKIM" xfId="128"/>
    <cellStyle name="Note" xfId="129"/>
    <cellStyle name="Output" xfId="130"/>
    <cellStyle name="Összesen" xfId="131"/>
    <cellStyle name="Currency" xfId="132"/>
    <cellStyle name="Currency [0]" xfId="133"/>
    <cellStyle name="Pénznem 2" xfId="134"/>
    <cellStyle name="Pénznem 3" xfId="135"/>
    <cellStyle name="Pénznem 4" xfId="136"/>
    <cellStyle name="Rossz" xfId="137"/>
    <cellStyle name="Semleges" xfId="138"/>
    <cellStyle name="Számítás" xfId="139"/>
    <cellStyle name="Percent" xfId="140"/>
    <cellStyle name="Százalék 2" xfId="141"/>
    <cellStyle name="Százalék 3" xfId="142"/>
    <cellStyle name="Title" xfId="143"/>
    <cellStyle name="Total" xfId="144"/>
    <cellStyle name="Warning Text" xfId="14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erika\Z&#225;rsz&#225;mad&#225;s%202017\mint&#225;k\M&#225;solat%20eredetije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0"/>
  <sheetViews>
    <sheetView workbookViewId="0" topLeftCell="A13">
      <selection activeCell="A40" sqref="A40"/>
    </sheetView>
  </sheetViews>
  <sheetFormatPr defaultColWidth="9.375" defaultRowHeight="12.75"/>
  <cols>
    <col min="1" max="1" width="46.375" style="173" customWidth="1"/>
    <col min="2" max="2" width="66.125" style="173" customWidth="1"/>
    <col min="3" max="16384" width="9.375" style="173" customWidth="1"/>
  </cols>
  <sheetData>
    <row r="1" ht="17.25">
      <c r="A1" s="297" t="s">
        <v>104</v>
      </c>
    </row>
    <row r="3" spans="1:2" ht="12.75">
      <c r="A3" s="298"/>
      <c r="B3" s="298"/>
    </row>
    <row r="4" spans="1:2" ht="15">
      <c r="A4" s="273" t="s">
        <v>882</v>
      </c>
      <c r="B4" s="299"/>
    </row>
    <row r="5" spans="1:2" s="300" customFormat="1" ht="12.75">
      <c r="A5" s="298"/>
      <c r="B5" s="298"/>
    </row>
    <row r="6" spans="1:2" ht="12.75">
      <c r="A6" s="298" t="s">
        <v>464</v>
      </c>
      <c r="B6" s="298" t="s">
        <v>465</v>
      </c>
    </row>
    <row r="7" spans="1:2" ht="12.75">
      <c r="A7" s="298" t="s">
        <v>466</v>
      </c>
      <c r="B7" s="298" t="s">
        <v>467</v>
      </c>
    </row>
    <row r="8" spans="1:2" ht="12.75">
      <c r="A8" s="298" t="s">
        <v>468</v>
      </c>
      <c r="B8" s="298" t="s">
        <v>469</v>
      </c>
    </row>
    <row r="9" spans="1:2" ht="12.75">
      <c r="A9" s="298"/>
      <c r="B9" s="298"/>
    </row>
    <row r="10" spans="1:2" ht="15">
      <c r="A10" s="273" t="str">
        <f>+CONCATENATE(LEFT(A4,4),". évi módosított előirányzat BEVÉTELEK")</f>
        <v>2019. évi módosított előirányzat BEVÉTELEK</v>
      </c>
      <c r="B10" s="299"/>
    </row>
    <row r="11" spans="1:2" ht="12.75">
      <c r="A11" s="298"/>
      <c r="B11" s="298"/>
    </row>
    <row r="12" spans="1:2" s="300" customFormat="1" ht="12.75">
      <c r="A12" s="298" t="s">
        <v>470</v>
      </c>
      <c r="B12" s="298" t="s">
        <v>476</v>
      </c>
    </row>
    <row r="13" spans="1:2" ht="12.75">
      <c r="A13" s="298" t="s">
        <v>471</v>
      </c>
      <c r="B13" s="298" t="s">
        <v>477</v>
      </c>
    </row>
    <row r="14" spans="1:2" ht="12.75">
      <c r="A14" s="298" t="s">
        <v>472</v>
      </c>
      <c r="B14" s="298" t="s">
        <v>478</v>
      </c>
    </row>
    <row r="15" spans="1:2" ht="12.75">
      <c r="A15" s="298"/>
      <c r="B15" s="298"/>
    </row>
    <row r="16" spans="1:2" ht="13.5">
      <c r="A16" s="301" t="str">
        <f>+CONCATENATE(LEFT(A4,4),". évi teljesítés BEVÉTELEK")</f>
        <v>2019. évi teljesítés BEVÉTELEK</v>
      </c>
      <c r="B16" s="299"/>
    </row>
    <row r="17" spans="1:2" ht="12.75">
      <c r="A17" s="298"/>
      <c r="B17" s="298"/>
    </row>
    <row r="18" spans="1:2" ht="12.75">
      <c r="A18" s="298" t="s">
        <v>473</v>
      </c>
      <c r="B18" s="298" t="s">
        <v>479</v>
      </c>
    </row>
    <row r="19" spans="1:2" ht="12.75">
      <c r="A19" s="298" t="s">
        <v>474</v>
      </c>
      <c r="B19" s="298" t="s">
        <v>480</v>
      </c>
    </row>
    <row r="20" spans="1:2" ht="12.75">
      <c r="A20" s="298" t="s">
        <v>475</v>
      </c>
      <c r="B20" s="298" t="s">
        <v>481</v>
      </c>
    </row>
    <row r="21" spans="1:2" ht="12.75">
      <c r="A21" s="298"/>
      <c r="B21" s="298"/>
    </row>
    <row r="22" spans="1:2" ht="15">
      <c r="A22" s="273" t="str">
        <f>+CONCATENATE(LEFT(A4,4),". évi eredeti előirányzat KIADÁSOK")</f>
        <v>2019. évi eredeti előirányzat KIADÁSOK</v>
      </c>
      <c r="B22" s="299"/>
    </row>
    <row r="23" spans="1:2" ht="12.75">
      <c r="A23" s="298"/>
      <c r="B23" s="298"/>
    </row>
    <row r="24" spans="1:2" ht="12.75">
      <c r="A24" s="298" t="s">
        <v>482</v>
      </c>
      <c r="B24" s="298" t="s">
        <v>488</v>
      </c>
    </row>
    <row r="25" spans="1:2" ht="12.75">
      <c r="A25" s="298" t="s">
        <v>461</v>
      </c>
      <c r="B25" s="298" t="s">
        <v>489</v>
      </c>
    </row>
    <row r="26" spans="1:2" ht="12.75">
      <c r="A26" s="298" t="s">
        <v>483</v>
      </c>
      <c r="B26" s="298" t="s">
        <v>490</v>
      </c>
    </row>
    <row r="27" spans="1:2" ht="12.75">
      <c r="A27" s="298"/>
      <c r="B27" s="298"/>
    </row>
    <row r="28" spans="1:2" ht="15">
      <c r="A28" s="273" t="str">
        <f>+CONCATENATE(LEFT(A4,4),". évi módosított előirányzat KIADÁSOK")</f>
        <v>2019. évi módosított előirányzat KIADÁSOK</v>
      </c>
      <c r="B28" s="299"/>
    </row>
    <row r="29" spans="1:2" ht="12.75">
      <c r="A29" s="298"/>
      <c r="B29" s="298"/>
    </row>
    <row r="30" spans="1:2" ht="12.75">
      <c r="A30" s="298" t="s">
        <v>484</v>
      </c>
      <c r="B30" s="298" t="s">
        <v>495</v>
      </c>
    </row>
    <row r="31" spans="1:2" ht="12.75">
      <c r="A31" s="298" t="s">
        <v>462</v>
      </c>
      <c r="B31" s="298" t="s">
        <v>492</v>
      </c>
    </row>
    <row r="32" spans="1:2" ht="12.75">
      <c r="A32" s="298" t="s">
        <v>485</v>
      </c>
      <c r="B32" s="298" t="s">
        <v>491</v>
      </c>
    </row>
    <row r="33" spans="1:2" ht="12.75">
      <c r="A33" s="298"/>
      <c r="B33" s="298"/>
    </row>
    <row r="34" spans="1:2" ht="15">
      <c r="A34" s="302" t="str">
        <f>+CONCATENATE(LEFT(A4,4),". évi teljesítés KIADÁSOK")</f>
        <v>2019. évi teljesítés KIADÁSOK</v>
      </c>
      <c r="B34" s="299"/>
    </row>
    <row r="35" spans="1:2" ht="12.75">
      <c r="A35" s="298"/>
      <c r="B35" s="298"/>
    </row>
    <row r="36" spans="1:2" ht="12.75">
      <c r="A36" s="298" t="s">
        <v>486</v>
      </c>
      <c r="B36" s="298" t="s">
        <v>496</v>
      </c>
    </row>
    <row r="37" spans="1:2" ht="12.75">
      <c r="A37" s="298" t="s">
        <v>463</v>
      </c>
      <c r="B37" s="298" t="s">
        <v>494</v>
      </c>
    </row>
    <row r="38" spans="1:2" ht="12.75">
      <c r="A38" s="298" t="s">
        <v>487</v>
      </c>
      <c r="B38" s="298" t="s">
        <v>493</v>
      </c>
    </row>
    <row r="40" ht="12.75">
      <c r="A40" s="298" t="s">
        <v>1048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H59"/>
  <sheetViews>
    <sheetView view="pageBreakPreview" zoomScale="115" zoomScaleSheetLayoutView="115" workbookViewId="0" topLeftCell="A43">
      <selection activeCell="B18" sqref="B18"/>
    </sheetView>
  </sheetViews>
  <sheetFormatPr defaultColWidth="9.375" defaultRowHeight="12.75"/>
  <cols>
    <col min="1" max="1" width="16.00390625" style="369" customWidth="1"/>
    <col min="2" max="2" width="59.375" style="27" customWidth="1"/>
    <col min="3" max="5" width="15.75390625" style="27" customWidth="1"/>
    <col min="6" max="6" width="13.125" style="27" customWidth="1"/>
    <col min="7" max="7" width="12.50390625" style="27" customWidth="1"/>
    <col min="8" max="8" width="12.125" style="27" customWidth="1"/>
    <col min="9" max="16384" width="9.375" style="27" customWidth="1"/>
  </cols>
  <sheetData>
    <row r="1" spans="1:8" s="311" customFormat="1" ht="21" customHeight="1" thickBot="1">
      <c r="A1" s="728"/>
      <c r="B1" s="728"/>
      <c r="C1" s="728"/>
      <c r="D1" s="728" t="s">
        <v>889</v>
      </c>
      <c r="E1" s="928" t="str">
        <f>ÖSSZEFÜGGÉSEK!A40</f>
        <v> a 7/2020.(VII.1.) önkormányzati rendelethez</v>
      </c>
      <c r="F1" s="928"/>
      <c r="G1" s="928"/>
      <c r="H1" s="928"/>
    </row>
    <row r="2" spans="1:8" s="351" customFormat="1" ht="22.5">
      <c r="A2" s="334" t="s">
        <v>141</v>
      </c>
      <c r="B2" s="920" t="s">
        <v>666</v>
      </c>
      <c r="C2" s="921"/>
      <c r="D2" s="921"/>
      <c r="E2" s="921"/>
      <c r="F2" s="921"/>
      <c r="G2" s="921"/>
      <c r="H2" s="922"/>
    </row>
    <row r="3" spans="1:8" s="351" customFormat="1" ht="23.25" thickBot="1">
      <c r="A3" s="350" t="s">
        <v>507</v>
      </c>
      <c r="B3" s="923" t="s">
        <v>502</v>
      </c>
      <c r="C3" s="924"/>
      <c r="D3" s="924"/>
      <c r="E3" s="924"/>
      <c r="F3" s="924"/>
      <c r="G3" s="924"/>
      <c r="H3" s="925"/>
    </row>
    <row r="4" spans="1:8" s="352" customFormat="1" ht="15.75" customHeight="1" thickBot="1">
      <c r="A4" s="312"/>
      <c r="B4" s="312"/>
      <c r="C4" s="313"/>
      <c r="D4" s="313"/>
      <c r="E4" s="313"/>
      <c r="F4" s="313"/>
      <c r="G4" s="313"/>
      <c r="H4" s="313" t="s">
        <v>670</v>
      </c>
    </row>
    <row r="5" spans="1:8" ht="23.25" thickBot="1">
      <c r="A5" s="187" t="s">
        <v>142</v>
      </c>
      <c r="B5" s="188" t="s">
        <v>40</v>
      </c>
      <c r="C5" s="87" t="s">
        <v>172</v>
      </c>
      <c r="D5" s="87" t="s">
        <v>176</v>
      </c>
      <c r="E5" s="314" t="s">
        <v>871</v>
      </c>
      <c r="F5" s="314" t="s">
        <v>872</v>
      </c>
      <c r="G5" s="314" t="s">
        <v>873</v>
      </c>
      <c r="H5" s="314" t="s">
        <v>874</v>
      </c>
    </row>
    <row r="6" spans="1:8" s="353" customFormat="1" ht="12.75" customHeight="1" thickBot="1">
      <c r="A6" s="309" t="s">
        <v>372</v>
      </c>
      <c r="B6" s="310" t="s">
        <v>373</v>
      </c>
      <c r="C6" s="310" t="s">
        <v>374</v>
      </c>
      <c r="D6" s="98" t="s">
        <v>375</v>
      </c>
      <c r="E6" s="96" t="s">
        <v>376</v>
      </c>
      <c r="F6" s="96" t="s">
        <v>451</v>
      </c>
      <c r="G6" s="96" t="s">
        <v>452</v>
      </c>
      <c r="H6" s="96" t="s">
        <v>453</v>
      </c>
    </row>
    <row r="7" spans="1:8" s="353" customFormat="1" ht="15.75" customHeight="1" thickBot="1">
      <c r="A7" s="916" t="s">
        <v>41</v>
      </c>
      <c r="B7" s="917"/>
      <c r="C7" s="917"/>
      <c r="D7" s="917"/>
      <c r="E7" s="917"/>
      <c r="F7" s="917"/>
      <c r="G7" s="917"/>
      <c r="H7" s="917"/>
    </row>
    <row r="8" spans="1:8" s="330" customFormat="1" ht="12" customHeight="1" thickBot="1">
      <c r="A8" s="309" t="s">
        <v>6</v>
      </c>
      <c r="B8" s="365" t="s">
        <v>508</v>
      </c>
      <c r="C8" s="246">
        <f aca="true" t="shared" si="0" ref="C8:H8">SUM(C9:C19)</f>
        <v>1778000</v>
      </c>
      <c r="D8" s="246">
        <f t="shared" si="0"/>
        <v>1778000</v>
      </c>
      <c r="E8" s="371">
        <f t="shared" si="0"/>
        <v>2051493</v>
      </c>
      <c r="F8" s="720">
        <f t="shared" si="0"/>
        <v>2051493</v>
      </c>
      <c r="G8" s="371">
        <f t="shared" si="0"/>
        <v>0</v>
      </c>
      <c r="H8" s="371">
        <f t="shared" si="0"/>
        <v>0</v>
      </c>
    </row>
    <row r="9" spans="1:8" s="330" customFormat="1" ht="12" customHeight="1">
      <c r="A9" s="374" t="s">
        <v>66</v>
      </c>
      <c r="B9" s="192" t="s">
        <v>291</v>
      </c>
      <c r="C9" s="93"/>
      <c r="D9" s="93"/>
      <c r="E9" s="717"/>
      <c r="F9" s="784">
        <f>E9-G9</f>
        <v>0</v>
      </c>
      <c r="G9" s="360"/>
      <c r="H9" s="360"/>
    </row>
    <row r="10" spans="1:8" s="330" customFormat="1" ht="12" customHeight="1">
      <c r="A10" s="375" t="s">
        <v>67</v>
      </c>
      <c r="B10" s="190" t="s">
        <v>292</v>
      </c>
      <c r="C10" s="243">
        <v>600000</v>
      </c>
      <c r="D10" s="243">
        <v>600000</v>
      </c>
      <c r="E10" s="718">
        <v>825000</v>
      </c>
      <c r="F10" s="785">
        <f aca="true" t="shared" si="1" ref="F10:F19">E10-G10</f>
        <v>825000</v>
      </c>
      <c r="G10" s="101"/>
      <c r="H10" s="101"/>
    </row>
    <row r="11" spans="1:8" s="330" customFormat="1" ht="12" customHeight="1">
      <c r="A11" s="375" t="s">
        <v>68</v>
      </c>
      <c r="B11" s="190" t="s">
        <v>293</v>
      </c>
      <c r="C11" s="243">
        <v>800000</v>
      </c>
      <c r="D11" s="243">
        <v>800000</v>
      </c>
      <c r="E11" s="718">
        <v>724951</v>
      </c>
      <c r="F11" s="785">
        <f t="shared" si="1"/>
        <v>724951</v>
      </c>
      <c r="G11" s="101"/>
      <c r="H11" s="101"/>
    </row>
    <row r="12" spans="1:8" s="330" customFormat="1" ht="12" customHeight="1">
      <c r="A12" s="375" t="s">
        <v>69</v>
      </c>
      <c r="B12" s="190" t="s">
        <v>294</v>
      </c>
      <c r="C12" s="243"/>
      <c r="D12" s="243"/>
      <c r="E12" s="718"/>
      <c r="F12" s="785">
        <f t="shared" si="1"/>
        <v>0</v>
      </c>
      <c r="G12" s="101"/>
      <c r="H12" s="101"/>
    </row>
    <row r="13" spans="1:8" s="330" customFormat="1" ht="12" customHeight="1">
      <c r="A13" s="375" t="s">
        <v>101</v>
      </c>
      <c r="B13" s="190" t="s">
        <v>295</v>
      </c>
      <c r="C13" s="243"/>
      <c r="D13" s="243"/>
      <c r="E13" s="718"/>
      <c r="F13" s="785">
        <f t="shared" si="1"/>
        <v>0</v>
      </c>
      <c r="G13" s="101"/>
      <c r="H13" s="101"/>
    </row>
    <row r="14" spans="1:8" s="330" customFormat="1" ht="12" customHeight="1">
      <c r="A14" s="375" t="s">
        <v>70</v>
      </c>
      <c r="B14" s="190" t="s">
        <v>509</v>
      </c>
      <c r="C14" s="243">
        <v>378000</v>
      </c>
      <c r="D14" s="243">
        <v>378000</v>
      </c>
      <c r="E14" s="718">
        <v>413250</v>
      </c>
      <c r="F14" s="785">
        <f t="shared" si="1"/>
        <v>413250</v>
      </c>
      <c r="G14" s="101"/>
      <c r="H14" s="101"/>
    </row>
    <row r="15" spans="1:8" s="354" customFormat="1" ht="12" customHeight="1">
      <c r="A15" s="375" t="s">
        <v>71</v>
      </c>
      <c r="B15" s="189" t="s">
        <v>510</v>
      </c>
      <c r="C15" s="243"/>
      <c r="D15" s="243"/>
      <c r="E15" s="718"/>
      <c r="F15" s="785">
        <f t="shared" si="1"/>
        <v>0</v>
      </c>
      <c r="G15" s="101"/>
      <c r="H15" s="101"/>
    </row>
    <row r="16" spans="1:8" s="354" customFormat="1" ht="12" customHeight="1">
      <c r="A16" s="375" t="s">
        <v>79</v>
      </c>
      <c r="B16" s="190" t="s">
        <v>298</v>
      </c>
      <c r="C16" s="243"/>
      <c r="D16" s="243"/>
      <c r="E16" s="244"/>
      <c r="F16" s="785">
        <f t="shared" si="1"/>
        <v>0</v>
      </c>
      <c r="G16" s="359"/>
      <c r="H16" s="359"/>
    </row>
    <row r="17" spans="1:8" s="354" customFormat="1" ht="12" customHeight="1">
      <c r="A17" s="375" t="s">
        <v>80</v>
      </c>
      <c r="B17" s="190" t="s">
        <v>939</v>
      </c>
      <c r="C17" s="243"/>
      <c r="D17" s="243"/>
      <c r="E17" s="244"/>
      <c r="F17" s="785"/>
      <c r="G17" s="359"/>
      <c r="H17" s="359"/>
    </row>
    <row r="18" spans="1:8" s="330" customFormat="1" ht="12" customHeight="1">
      <c r="A18" s="375" t="s">
        <v>81</v>
      </c>
      <c r="B18" s="190" t="s">
        <v>300</v>
      </c>
      <c r="C18" s="243"/>
      <c r="D18" s="243"/>
      <c r="E18" s="718">
        <v>5482</v>
      </c>
      <c r="F18" s="785">
        <f t="shared" si="1"/>
        <v>5482</v>
      </c>
      <c r="G18" s="101"/>
      <c r="H18" s="101"/>
    </row>
    <row r="19" spans="1:8" s="354" customFormat="1" ht="12" customHeight="1" thickBot="1">
      <c r="A19" s="375" t="s">
        <v>82</v>
      </c>
      <c r="B19" s="189" t="s">
        <v>302</v>
      </c>
      <c r="C19" s="245"/>
      <c r="D19" s="245"/>
      <c r="E19" s="719">
        <v>82810</v>
      </c>
      <c r="F19" s="786">
        <f t="shared" si="1"/>
        <v>82810</v>
      </c>
      <c r="G19" s="355"/>
      <c r="H19" s="355"/>
    </row>
    <row r="20" spans="1:8" s="354" customFormat="1" ht="14.25" thickBot="1">
      <c r="A20" s="309" t="s">
        <v>7</v>
      </c>
      <c r="B20" s="365" t="s">
        <v>511</v>
      </c>
      <c r="C20" s="246">
        <f aca="true" t="shared" si="2" ref="C20:H20">SUM(C21:C23)</f>
        <v>12400000</v>
      </c>
      <c r="D20" s="246">
        <f t="shared" si="2"/>
        <v>20095752</v>
      </c>
      <c r="E20" s="371">
        <f t="shared" si="2"/>
        <v>8753593</v>
      </c>
      <c r="F20" s="720">
        <f t="shared" si="2"/>
        <v>8753593</v>
      </c>
      <c r="G20" s="371">
        <f t="shared" si="2"/>
        <v>0</v>
      </c>
      <c r="H20" s="371">
        <f t="shared" si="2"/>
        <v>0</v>
      </c>
    </row>
    <row r="21" spans="1:8" s="354" customFormat="1" ht="12" customHeight="1">
      <c r="A21" s="375" t="s">
        <v>72</v>
      </c>
      <c r="B21" s="191" t="s">
        <v>270</v>
      </c>
      <c r="C21" s="243"/>
      <c r="D21" s="243"/>
      <c r="E21" s="101"/>
      <c r="F21" s="101"/>
      <c r="G21" s="101"/>
      <c r="H21" s="101"/>
    </row>
    <row r="22" spans="1:8" s="354" customFormat="1" ht="12" customHeight="1">
      <c r="A22" s="375" t="s">
        <v>73</v>
      </c>
      <c r="B22" s="190" t="s">
        <v>512</v>
      </c>
      <c r="D22" s="243"/>
      <c r="E22" s="101"/>
      <c r="F22" s="101"/>
      <c r="G22" s="101"/>
      <c r="H22" s="101"/>
    </row>
    <row r="23" spans="1:8" s="354" customFormat="1" ht="12" customHeight="1">
      <c r="A23" s="375" t="s">
        <v>74</v>
      </c>
      <c r="B23" s="190" t="s">
        <v>513</v>
      </c>
      <c r="C23" s="243">
        <v>12400000</v>
      </c>
      <c r="D23" s="243">
        <v>20095752</v>
      </c>
      <c r="E23" s="101">
        <v>8753593</v>
      </c>
      <c r="F23" s="101">
        <v>8753593</v>
      </c>
      <c r="G23" s="101"/>
      <c r="H23" s="101"/>
    </row>
    <row r="24" spans="1:8" s="354" customFormat="1" ht="12" customHeight="1" thickBot="1">
      <c r="A24" s="375" t="s">
        <v>75</v>
      </c>
      <c r="B24" s="190" t="s">
        <v>615</v>
      </c>
      <c r="C24" s="243"/>
      <c r="D24" s="243"/>
      <c r="E24" s="101"/>
      <c r="F24" s="101"/>
      <c r="G24" s="101"/>
      <c r="H24" s="101"/>
    </row>
    <row r="25" spans="1:8" s="354" customFormat="1" ht="12" customHeight="1" thickBot="1">
      <c r="A25" s="364" t="s">
        <v>8</v>
      </c>
      <c r="B25" s="199" t="s">
        <v>118</v>
      </c>
      <c r="C25" s="36"/>
      <c r="D25" s="36"/>
      <c r="E25" s="370"/>
      <c r="F25" s="370"/>
      <c r="G25" s="370"/>
      <c r="H25" s="370"/>
    </row>
    <row r="26" spans="1:8" s="354" customFormat="1" ht="14.25" thickBot="1">
      <c r="A26" s="364" t="s">
        <v>9</v>
      </c>
      <c r="B26" s="199" t="s">
        <v>514</v>
      </c>
      <c r="C26" s="246">
        <f>SUM(C27:C28)</f>
        <v>0</v>
      </c>
      <c r="D26" s="246"/>
      <c r="E26" s="371"/>
      <c r="F26" s="371"/>
      <c r="G26" s="371"/>
      <c r="H26" s="371"/>
    </row>
    <row r="27" spans="1:8" s="354" customFormat="1" ht="12" customHeight="1">
      <c r="A27" s="376" t="s">
        <v>284</v>
      </c>
      <c r="B27" s="377" t="s">
        <v>512</v>
      </c>
      <c r="C27" s="90"/>
      <c r="D27" s="90"/>
      <c r="E27" s="358"/>
      <c r="F27" s="358"/>
      <c r="G27" s="358"/>
      <c r="H27" s="358"/>
    </row>
    <row r="28" spans="1:8" s="354" customFormat="1" ht="12" customHeight="1">
      <c r="A28" s="376" t="s">
        <v>286</v>
      </c>
      <c r="B28" s="378" t="s">
        <v>515</v>
      </c>
      <c r="C28" s="247"/>
      <c r="D28" s="247"/>
      <c r="E28" s="357"/>
      <c r="F28" s="357"/>
      <c r="G28" s="357"/>
      <c r="H28" s="357"/>
    </row>
    <row r="29" spans="1:8" s="354" customFormat="1" ht="12" customHeight="1" thickBot="1">
      <c r="A29" s="375" t="s">
        <v>287</v>
      </c>
      <c r="B29" s="379" t="s">
        <v>616</v>
      </c>
      <c r="C29" s="361"/>
      <c r="D29" s="361"/>
      <c r="E29" s="356"/>
      <c r="F29" s="356"/>
      <c r="G29" s="356"/>
      <c r="H29" s="356"/>
    </row>
    <row r="30" spans="1:8" s="354" customFormat="1" ht="12" customHeight="1" thickBot="1">
      <c r="A30" s="364" t="s">
        <v>10</v>
      </c>
      <c r="B30" s="199" t="s">
        <v>516</v>
      </c>
      <c r="C30" s="246">
        <f aca="true" t="shared" si="3" ref="C30:H30">SUM(C31:C33)</f>
        <v>0</v>
      </c>
      <c r="D30" s="246">
        <f t="shared" si="3"/>
        <v>0</v>
      </c>
      <c r="E30" s="371">
        <f t="shared" si="3"/>
        <v>0</v>
      </c>
      <c r="F30" s="371">
        <f t="shared" si="3"/>
        <v>0</v>
      </c>
      <c r="G30" s="371">
        <f t="shared" si="3"/>
        <v>0</v>
      </c>
      <c r="H30" s="371">
        <f t="shared" si="3"/>
        <v>0</v>
      </c>
    </row>
    <row r="31" spans="1:8" s="354" customFormat="1" ht="12" customHeight="1">
      <c r="A31" s="376" t="s">
        <v>59</v>
      </c>
      <c r="B31" s="377" t="s">
        <v>304</v>
      </c>
      <c r="C31" s="90"/>
      <c r="D31" s="90"/>
      <c r="E31" s="358"/>
      <c r="F31" s="358"/>
      <c r="G31" s="358"/>
      <c r="H31" s="358"/>
    </row>
    <row r="32" spans="1:8" s="354" customFormat="1" ht="12" customHeight="1">
      <c r="A32" s="376" t="s">
        <v>60</v>
      </c>
      <c r="B32" s="378" t="s">
        <v>305</v>
      </c>
      <c r="C32" s="247"/>
      <c r="D32" s="247"/>
      <c r="E32" s="357"/>
      <c r="F32" s="357"/>
      <c r="G32" s="357"/>
      <c r="H32" s="357"/>
    </row>
    <row r="33" spans="1:8" s="354" customFormat="1" ht="12" customHeight="1" thickBot="1">
      <c r="A33" s="375" t="s">
        <v>61</v>
      </c>
      <c r="B33" s="363" t="s">
        <v>307</v>
      </c>
      <c r="C33" s="361"/>
      <c r="D33" s="361"/>
      <c r="E33" s="356"/>
      <c r="F33" s="356"/>
      <c r="G33" s="356"/>
      <c r="H33" s="356"/>
    </row>
    <row r="34" spans="1:8" s="354" customFormat="1" ht="12" customHeight="1" thickBot="1">
      <c r="A34" s="364" t="s">
        <v>11</v>
      </c>
      <c r="B34" s="199" t="s">
        <v>431</v>
      </c>
      <c r="C34" s="36"/>
      <c r="D34" s="36"/>
      <c r="E34" s="370"/>
      <c r="F34" s="370"/>
      <c r="G34" s="370"/>
      <c r="H34" s="370"/>
    </row>
    <row r="35" spans="1:8" s="330" customFormat="1" ht="12" customHeight="1" thickBot="1">
      <c r="A35" s="364" t="s">
        <v>12</v>
      </c>
      <c r="B35" s="199" t="s">
        <v>517</v>
      </c>
      <c r="C35" s="36"/>
      <c r="D35" s="36"/>
      <c r="E35" s="370"/>
      <c r="F35" s="370"/>
      <c r="G35" s="370"/>
      <c r="H35" s="370"/>
    </row>
    <row r="36" spans="1:8" s="330" customFormat="1" ht="12" customHeight="1" thickBot="1">
      <c r="A36" s="309" t="s">
        <v>13</v>
      </c>
      <c r="B36" s="199" t="s">
        <v>617</v>
      </c>
      <c r="C36" s="246">
        <f aca="true" t="shared" si="4" ref="C36:H36">+C8+C20+C25+C26+C30+C34+C35</f>
        <v>14178000</v>
      </c>
      <c r="D36" s="246">
        <f t="shared" si="4"/>
        <v>21873752</v>
      </c>
      <c r="E36" s="246">
        <f t="shared" si="4"/>
        <v>10805086</v>
      </c>
      <c r="F36" s="246">
        <f t="shared" si="4"/>
        <v>10805086</v>
      </c>
      <c r="G36" s="246">
        <f t="shared" si="4"/>
        <v>0</v>
      </c>
      <c r="H36" s="246">
        <f t="shared" si="4"/>
        <v>0</v>
      </c>
    </row>
    <row r="37" spans="1:8" s="330" customFormat="1" ht="12" customHeight="1" thickBot="1">
      <c r="A37" s="366" t="s">
        <v>14</v>
      </c>
      <c r="B37" s="199" t="s">
        <v>519</v>
      </c>
      <c r="C37" s="246">
        <f aca="true" t="shared" si="5" ref="C37:H37">+C38+C39+C40</f>
        <v>174699645</v>
      </c>
      <c r="D37" s="246">
        <f t="shared" si="5"/>
        <v>205914768</v>
      </c>
      <c r="E37" s="371">
        <f t="shared" si="5"/>
        <v>176232653</v>
      </c>
      <c r="F37" s="371">
        <f t="shared" si="5"/>
        <v>176232653</v>
      </c>
      <c r="G37" s="371">
        <f t="shared" si="5"/>
        <v>0</v>
      </c>
      <c r="H37" s="371">
        <f t="shared" si="5"/>
        <v>0</v>
      </c>
    </row>
    <row r="38" spans="1:8" s="330" customFormat="1" ht="12" customHeight="1">
      <c r="A38" s="376" t="s">
        <v>520</v>
      </c>
      <c r="B38" s="377" t="s">
        <v>159</v>
      </c>
      <c r="C38" s="90"/>
      <c r="D38" s="90">
        <v>5353576</v>
      </c>
      <c r="E38" s="358">
        <v>5353576</v>
      </c>
      <c r="F38" s="358">
        <f>E38-G38</f>
        <v>5353576</v>
      </c>
      <c r="G38" s="358"/>
      <c r="H38" s="358"/>
    </row>
    <row r="39" spans="1:8" s="354" customFormat="1" ht="12" customHeight="1">
      <c r="A39" s="376" t="s">
        <v>521</v>
      </c>
      <c r="B39" s="378" t="s">
        <v>2</v>
      </c>
      <c r="C39" s="247"/>
      <c r="D39" s="247"/>
      <c r="E39" s="357"/>
      <c r="F39" s="358">
        <f>E39-G39</f>
        <v>0</v>
      </c>
      <c r="G39" s="357"/>
      <c r="H39" s="357"/>
    </row>
    <row r="40" spans="1:8" s="354" customFormat="1" ht="12" customHeight="1" thickBot="1">
      <c r="A40" s="375" t="s">
        <v>522</v>
      </c>
      <c r="B40" s="363" t="s">
        <v>523</v>
      </c>
      <c r="C40" s="361">
        <v>174699645</v>
      </c>
      <c r="D40" s="361">
        <v>200561192</v>
      </c>
      <c r="E40" s="356">
        <v>170879077</v>
      </c>
      <c r="F40" s="358">
        <f>E40-G40</f>
        <v>170879077</v>
      </c>
      <c r="G40" s="356"/>
      <c r="H40" s="356"/>
    </row>
    <row r="41" spans="1:8" s="354" customFormat="1" ht="15" customHeight="1" thickBot="1">
      <c r="A41" s="366" t="s">
        <v>15</v>
      </c>
      <c r="B41" s="367" t="s">
        <v>524</v>
      </c>
      <c r="C41" s="95">
        <f aca="true" t="shared" si="6" ref="C41:H41">+C36+C37</f>
        <v>188877645</v>
      </c>
      <c r="D41" s="95">
        <f t="shared" si="6"/>
        <v>227788520</v>
      </c>
      <c r="E41" s="372">
        <f t="shared" si="6"/>
        <v>187037739</v>
      </c>
      <c r="F41" s="372">
        <f t="shared" si="6"/>
        <v>187037739</v>
      </c>
      <c r="G41" s="372">
        <f t="shared" si="6"/>
        <v>0</v>
      </c>
      <c r="H41" s="372">
        <f t="shared" si="6"/>
        <v>0</v>
      </c>
    </row>
    <row r="42" spans="1:5" s="354" customFormat="1" ht="15" customHeight="1">
      <c r="A42" s="315"/>
      <c r="B42" s="316"/>
      <c r="C42" s="328"/>
      <c r="D42" s="328"/>
      <c r="E42" s="328"/>
    </row>
    <row r="43" spans="1:5" ht="12.75">
      <c r="A43" s="317"/>
      <c r="B43" s="318"/>
      <c r="C43" s="329"/>
      <c r="D43" s="329"/>
      <c r="E43" s="329"/>
    </row>
    <row r="44" spans="1:8" s="353" customFormat="1" ht="16.5" customHeight="1" thickBot="1">
      <c r="A44" s="926" t="s">
        <v>42</v>
      </c>
      <c r="B44" s="927"/>
      <c r="C44" s="927"/>
      <c r="D44" s="927"/>
      <c r="E44" s="927"/>
      <c r="F44" s="927"/>
      <c r="G44" s="927"/>
      <c r="H44" s="927"/>
    </row>
    <row r="45" spans="1:8" s="186" customFormat="1" ht="12" customHeight="1" thickBot="1">
      <c r="A45" s="364" t="s">
        <v>6</v>
      </c>
      <c r="B45" s="199" t="s">
        <v>525</v>
      </c>
      <c r="C45" s="246">
        <f aca="true" t="shared" si="7" ref="C45:H45">SUM(C46:C50)</f>
        <v>176685645</v>
      </c>
      <c r="D45" s="246">
        <f t="shared" si="7"/>
        <v>215596520</v>
      </c>
      <c r="E45" s="274">
        <f t="shared" si="7"/>
        <v>184489964</v>
      </c>
      <c r="F45" s="274">
        <f t="shared" si="7"/>
        <v>184489964</v>
      </c>
      <c r="G45" s="274">
        <f t="shared" si="7"/>
        <v>0</v>
      </c>
      <c r="H45" s="274">
        <f t="shared" si="7"/>
        <v>0</v>
      </c>
    </row>
    <row r="46" spans="1:8" ht="12" customHeight="1">
      <c r="A46" s="375" t="s">
        <v>66</v>
      </c>
      <c r="B46" s="191" t="s">
        <v>36</v>
      </c>
      <c r="C46" s="90">
        <v>125033748</v>
      </c>
      <c r="D46" s="90">
        <v>151515103</v>
      </c>
      <c r="E46" s="269">
        <v>130926588</v>
      </c>
      <c r="F46" s="269">
        <f>E46-G46</f>
        <v>130926588</v>
      </c>
      <c r="G46" s="269"/>
      <c r="H46" s="269"/>
    </row>
    <row r="47" spans="1:8" ht="12" customHeight="1">
      <c r="A47" s="375" t="s">
        <v>67</v>
      </c>
      <c r="B47" s="190" t="s">
        <v>127</v>
      </c>
      <c r="C47" s="240">
        <v>24727397</v>
      </c>
      <c r="D47" s="240">
        <v>30244288</v>
      </c>
      <c r="E47" s="270">
        <v>27597817</v>
      </c>
      <c r="F47" s="269">
        <f>E47-G47</f>
        <v>27597817</v>
      </c>
      <c r="G47" s="270"/>
      <c r="H47" s="270"/>
    </row>
    <row r="48" spans="1:8" ht="12" customHeight="1">
      <c r="A48" s="375" t="s">
        <v>68</v>
      </c>
      <c r="B48" s="190" t="s">
        <v>95</v>
      </c>
      <c r="C48" s="240">
        <v>26924500</v>
      </c>
      <c r="D48" s="240">
        <v>33837129</v>
      </c>
      <c r="E48" s="270">
        <v>25965559</v>
      </c>
      <c r="F48" s="269">
        <f>E48-G48</f>
        <v>25965559</v>
      </c>
      <c r="G48" s="270"/>
      <c r="H48" s="270"/>
    </row>
    <row r="49" spans="1:8" ht="12" customHeight="1">
      <c r="A49" s="375" t="s">
        <v>69</v>
      </c>
      <c r="B49" s="190" t="s">
        <v>128</v>
      </c>
      <c r="C49" s="240"/>
      <c r="D49" s="240"/>
      <c r="E49" s="270"/>
      <c r="F49" s="269">
        <f>E49-G49</f>
        <v>0</v>
      </c>
      <c r="G49" s="270"/>
      <c r="H49" s="270"/>
    </row>
    <row r="50" spans="1:8" ht="12" customHeight="1" thickBot="1">
      <c r="A50" s="375" t="s">
        <v>101</v>
      </c>
      <c r="B50" s="190" t="s">
        <v>129</v>
      </c>
      <c r="C50" s="240"/>
      <c r="D50" s="240"/>
      <c r="E50" s="270"/>
      <c r="F50" s="269">
        <f>E50-G50</f>
        <v>0</v>
      </c>
      <c r="G50" s="270"/>
      <c r="H50" s="270"/>
    </row>
    <row r="51" spans="1:8" ht="12" customHeight="1" thickBot="1">
      <c r="A51" s="364" t="s">
        <v>7</v>
      </c>
      <c r="B51" s="199" t="s">
        <v>526</v>
      </c>
      <c r="C51" s="246">
        <f aca="true" t="shared" si="8" ref="C51:H51">SUM(C52:C54)</f>
        <v>12192000</v>
      </c>
      <c r="D51" s="246">
        <f t="shared" si="8"/>
        <v>12192000</v>
      </c>
      <c r="E51" s="274">
        <f t="shared" si="8"/>
        <v>864100</v>
      </c>
      <c r="F51" s="274">
        <f t="shared" si="8"/>
        <v>864100</v>
      </c>
      <c r="G51" s="274">
        <f t="shared" si="8"/>
        <v>0</v>
      </c>
      <c r="H51" s="274">
        <f t="shared" si="8"/>
        <v>0</v>
      </c>
    </row>
    <row r="52" spans="1:8" s="186" customFormat="1" ht="12" customHeight="1">
      <c r="A52" s="375" t="s">
        <v>72</v>
      </c>
      <c r="B52" s="191" t="s">
        <v>150</v>
      </c>
      <c r="C52" s="90">
        <v>12192000</v>
      </c>
      <c r="D52" s="90">
        <v>12192000</v>
      </c>
      <c r="E52" s="269">
        <v>864100</v>
      </c>
      <c r="F52" s="269">
        <f>E52-G52</f>
        <v>864100</v>
      </c>
      <c r="G52" s="269"/>
      <c r="H52" s="269"/>
    </row>
    <row r="53" spans="1:8" ht="12" customHeight="1">
      <c r="A53" s="375" t="s">
        <v>73</v>
      </c>
      <c r="B53" s="190" t="s">
        <v>131</v>
      </c>
      <c r="C53" s="240"/>
      <c r="D53" s="240"/>
      <c r="E53" s="270"/>
      <c r="F53" s="270"/>
      <c r="G53" s="270"/>
      <c r="H53" s="270"/>
    </row>
    <row r="54" spans="1:8" ht="12" customHeight="1">
      <c r="A54" s="375" t="s">
        <v>74</v>
      </c>
      <c r="B54" s="190" t="s">
        <v>43</v>
      </c>
      <c r="C54" s="240"/>
      <c r="D54" s="240"/>
      <c r="E54" s="270"/>
      <c r="F54" s="270"/>
      <c r="G54" s="270"/>
      <c r="H54" s="270"/>
    </row>
    <row r="55" spans="1:8" ht="12" customHeight="1" thickBot="1">
      <c r="A55" s="375" t="s">
        <v>75</v>
      </c>
      <c r="B55" s="190" t="s">
        <v>618</v>
      </c>
      <c r="C55" s="240"/>
      <c r="D55" s="240"/>
      <c r="E55" s="270"/>
      <c r="F55" s="270"/>
      <c r="G55" s="270"/>
      <c r="H55" s="270"/>
    </row>
    <row r="56" spans="1:8" ht="12" customHeight="1" thickBot="1">
      <c r="A56" s="364" t="s">
        <v>8</v>
      </c>
      <c r="B56" s="368" t="s">
        <v>527</v>
      </c>
      <c r="C56" s="246">
        <f aca="true" t="shared" si="9" ref="C56:H56">+C45+C51</f>
        <v>188877645</v>
      </c>
      <c r="D56" s="246">
        <f t="shared" si="9"/>
        <v>227788520</v>
      </c>
      <c r="E56" s="274">
        <f t="shared" si="9"/>
        <v>185354064</v>
      </c>
      <c r="F56" s="274">
        <f t="shared" si="9"/>
        <v>185354064</v>
      </c>
      <c r="G56" s="274">
        <f t="shared" si="9"/>
        <v>0</v>
      </c>
      <c r="H56" s="274">
        <f t="shared" si="9"/>
        <v>0</v>
      </c>
    </row>
    <row r="57" spans="3:5" ht="13.5" thickBot="1">
      <c r="C57" s="373"/>
      <c r="D57" s="373"/>
      <c r="E57" s="373"/>
    </row>
    <row r="58" spans="1:8" ht="15" customHeight="1" thickBot="1">
      <c r="A58" s="319" t="s">
        <v>614</v>
      </c>
      <c r="B58" s="320"/>
      <c r="C58" s="99">
        <v>34</v>
      </c>
      <c r="D58" s="99">
        <v>34</v>
      </c>
      <c r="E58" s="362">
        <v>34</v>
      </c>
      <c r="F58" s="362"/>
      <c r="G58" s="362"/>
      <c r="H58" s="362"/>
    </row>
    <row r="59" spans="1:8" ht="14.25" customHeight="1" thickBot="1">
      <c r="A59" s="319" t="s">
        <v>143</v>
      </c>
      <c r="B59" s="320"/>
      <c r="C59" s="99">
        <v>0</v>
      </c>
      <c r="D59" s="99">
        <v>0</v>
      </c>
      <c r="E59" s="362">
        <v>0</v>
      </c>
      <c r="F59" s="362"/>
      <c r="G59" s="362"/>
      <c r="H59" s="362"/>
    </row>
  </sheetData>
  <sheetProtection formatCells="0"/>
  <mergeCells count="5">
    <mergeCell ref="B2:H2"/>
    <mergeCell ref="B3:H3"/>
    <mergeCell ref="A7:H7"/>
    <mergeCell ref="A44:H44"/>
    <mergeCell ref="E1:H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H59"/>
  <sheetViews>
    <sheetView zoomScaleSheetLayoutView="145" workbookViewId="0" topLeftCell="A1">
      <selection activeCell="D12" sqref="D12"/>
    </sheetView>
  </sheetViews>
  <sheetFormatPr defaultColWidth="9.375" defaultRowHeight="12.75"/>
  <cols>
    <col min="1" max="1" width="18.625" style="369" customWidth="1"/>
    <col min="2" max="2" width="62.00390625" style="27" customWidth="1"/>
    <col min="3" max="5" width="15.75390625" style="27" customWidth="1"/>
    <col min="6" max="6" width="14.75390625" style="27" customWidth="1"/>
    <col min="7" max="7" width="13.375" style="27" customWidth="1"/>
    <col min="8" max="8" width="12.375" style="27" customWidth="1"/>
    <col min="9" max="16384" width="9.375" style="27" customWidth="1"/>
  </cols>
  <sheetData>
    <row r="1" spans="1:8" s="311" customFormat="1" ht="21" customHeight="1" thickBot="1">
      <c r="A1" s="728"/>
      <c r="B1" s="728"/>
      <c r="C1" s="728"/>
      <c r="D1" s="728" t="s">
        <v>890</v>
      </c>
      <c r="E1" s="928" t="str">
        <f>ÖSSZEFÜGGÉSEK!A40</f>
        <v> a 7/2020.(VII.1.) önkormányzati rendelethez</v>
      </c>
      <c r="F1" s="928"/>
      <c r="G1" s="928"/>
      <c r="H1" s="928"/>
    </row>
    <row r="2" spans="1:8" s="351" customFormat="1" ht="25.5" customHeight="1">
      <c r="A2" s="334" t="s">
        <v>141</v>
      </c>
      <c r="B2" s="920" t="s">
        <v>667</v>
      </c>
      <c r="C2" s="921"/>
      <c r="D2" s="921"/>
      <c r="E2" s="921"/>
      <c r="F2" s="921"/>
      <c r="G2" s="921"/>
      <c r="H2" s="922"/>
    </row>
    <row r="3" spans="1:8" s="351" customFormat="1" ht="15.75" thickBot="1">
      <c r="A3" s="350" t="s">
        <v>140</v>
      </c>
      <c r="B3" s="923" t="s">
        <v>502</v>
      </c>
      <c r="C3" s="924"/>
      <c r="D3" s="924"/>
      <c r="E3" s="924"/>
      <c r="F3" s="924"/>
      <c r="G3" s="924"/>
      <c r="H3" s="925"/>
    </row>
    <row r="4" spans="1:8" s="352" customFormat="1" ht="15.75" customHeight="1" thickBot="1">
      <c r="A4" s="312"/>
      <c r="B4" s="312"/>
      <c r="C4" s="313"/>
      <c r="D4" s="313"/>
      <c r="E4" s="313"/>
      <c r="F4" s="313"/>
      <c r="G4" s="313"/>
      <c r="H4" s="313" t="s">
        <v>670</v>
      </c>
    </row>
    <row r="5" spans="1:8" ht="23.25" thickBot="1">
      <c r="A5" s="187" t="s">
        <v>142</v>
      </c>
      <c r="B5" s="188" t="s">
        <v>40</v>
      </c>
      <c r="C5" s="87" t="s">
        <v>172</v>
      </c>
      <c r="D5" s="87" t="s">
        <v>176</v>
      </c>
      <c r="E5" s="314" t="s">
        <v>177</v>
      </c>
      <c r="F5" s="314" t="s">
        <v>872</v>
      </c>
      <c r="G5" s="314" t="s">
        <v>873</v>
      </c>
      <c r="H5" s="314" t="s">
        <v>874</v>
      </c>
    </row>
    <row r="6" spans="1:8" s="353" customFormat="1" ht="12.75" customHeight="1" thickBot="1">
      <c r="A6" s="309" t="s">
        <v>372</v>
      </c>
      <c r="B6" s="310" t="s">
        <v>373</v>
      </c>
      <c r="C6" s="310" t="s">
        <v>374</v>
      </c>
      <c r="D6" s="98" t="s">
        <v>375</v>
      </c>
      <c r="E6" s="96" t="s">
        <v>376</v>
      </c>
      <c r="F6" s="96" t="s">
        <v>451</v>
      </c>
      <c r="G6" s="96" t="s">
        <v>452</v>
      </c>
      <c r="H6" s="96" t="s">
        <v>453</v>
      </c>
    </row>
    <row r="7" spans="1:5" s="353" customFormat="1" ht="15.75" customHeight="1" thickBot="1">
      <c r="A7" s="916" t="s">
        <v>41</v>
      </c>
      <c r="B7" s="917"/>
      <c r="C7" s="917"/>
      <c r="D7" s="917"/>
      <c r="E7" s="918"/>
    </row>
    <row r="8" spans="1:8" s="330" customFormat="1" ht="12" customHeight="1" thickBot="1">
      <c r="A8" s="309" t="s">
        <v>6</v>
      </c>
      <c r="B8" s="365" t="s">
        <v>508</v>
      </c>
      <c r="C8" s="246">
        <f aca="true" t="shared" si="0" ref="C8:H8">SUM(C9:C19)</f>
        <v>0</v>
      </c>
      <c r="D8" s="386">
        <f t="shared" si="0"/>
        <v>10010</v>
      </c>
      <c r="E8" s="371">
        <f t="shared" si="0"/>
        <v>9317</v>
      </c>
      <c r="F8" s="371">
        <f t="shared" si="0"/>
        <v>9317</v>
      </c>
      <c r="G8" s="371">
        <f t="shared" si="0"/>
        <v>0</v>
      </c>
      <c r="H8" s="371">
        <f t="shared" si="0"/>
        <v>0</v>
      </c>
    </row>
    <row r="9" spans="1:8" s="330" customFormat="1" ht="12" customHeight="1">
      <c r="A9" s="374" t="s">
        <v>66</v>
      </c>
      <c r="B9" s="192" t="s">
        <v>291</v>
      </c>
      <c r="C9" s="93"/>
      <c r="D9" s="387"/>
      <c r="E9" s="717"/>
      <c r="F9" s="784"/>
      <c r="G9" s="784"/>
      <c r="H9" s="784"/>
    </row>
    <row r="10" spans="1:8" s="330" customFormat="1" ht="12" customHeight="1">
      <c r="A10" s="375" t="s">
        <v>67</v>
      </c>
      <c r="B10" s="190" t="s">
        <v>292</v>
      </c>
      <c r="C10" s="243"/>
      <c r="D10" s="388"/>
      <c r="E10" s="718"/>
      <c r="F10" s="785"/>
      <c r="G10" s="785"/>
      <c r="H10" s="785"/>
    </row>
    <row r="11" spans="1:8" s="330" customFormat="1" ht="12" customHeight="1">
      <c r="A11" s="375" t="s">
        <v>68</v>
      </c>
      <c r="B11" s="190" t="s">
        <v>293</v>
      </c>
      <c r="C11" s="243"/>
      <c r="D11" s="388"/>
      <c r="E11" s="718"/>
      <c r="F11" s="785"/>
      <c r="G11" s="785"/>
      <c r="H11" s="785"/>
    </row>
    <row r="12" spans="1:8" s="330" customFormat="1" ht="12" customHeight="1">
      <c r="A12" s="375" t="s">
        <v>69</v>
      </c>
      <c r="B12" s="190" t="s">
        <v>294</v>
      </c>
      <c r="C12" s="243"/>
      <c r="D12" s="388"/>
      <c r="E12" s="718"/>
      <c r="F12" s="785"/>
      <c r="G12" s="785"/>
      <c r="H12" s="785"/>
    </row>
    <row r="13" spans="1:8" s="330" customFormat="1" ht="12" customHeight="1">
      <c r="A13" s="375" t="s">
        <v>101</v>
      </c>
      <c r="B13" s="190" t="s">
        <v>295</v>
      </c>
      <c r="C13" s="243"/>
      <c r="D13" s="388"/>
      <c r="E13" s="718"/>
      <c r="F13" s="785"/>
      <c r="G13" s="785"/>
      <c r="H13" s="785"/>
    </row>
    <row r="14" spans="1:8" s="330" customFormat="1" ht="12" customHeight="1">
      <c r="A14" s="375" t="s">
        <v>70</v>
      </c>
      <c r="B14" s="190" t="s">
        <v>509</v>
      </c>
      <c r="C14" s="243"/>
      <c r="D14" s="388"/>
      <c r="E14" s="718"/>
      <c r="F14" s="785"/>
      <c r="G14" s="785"/>
      <c r="H14" s="785"/>
    </row>
    <row r="15" spans="1:8" s="354" customFormat="1" ht="12" customHeight="1">
      <c r="A15" s="375" t="s">
        <v>71</v>
      </c>
      <c r="B15" s="189" t="s">
        <v>510</v>
      </c>
      <c r="C15" s="243"/>
      <c r="D15" s="388"/>
      <c r="E15" s="718"/>
      <c r="F15" s="785"/>
      <c r="G15" s="785"/>
      <c r="H15" s="785"/>
    </row>
    <row r="16" spans="1:8" s="354" customFormat="1" ht="12" customHeight="1">
      <c r="A16" s="375" t="s">
        <v>79</v>
      </c>
      <c r="B16" s="190" t="s">
        <v>298</v>
      </c>
      <c r="C16" s="243"/>
      <c r="D16" s="243">
        <v>10</v>
      </c>
      <c r="E16" s="244">
        <v>2</v>
      </c>
      <c r="F16" s="785">
        <v>2</v>
      </c>
      <c r="G16" s="785"/>
      <c r="H16" s="785"/>
    </row>
    <row r="17" spans="1:8" s="354" customFormat="1" ht="12" customHeight="1">
      <c r="A17" s="375" t="s">
        <v>80</v>
      </c>
      <c r="B17" s="190" t="s">
        <v>939</v>
      </c>
      <c r="C17" s="243"/>
      <c r="D17" s="243"/>
      <c r="E17" s="244"/>
      <c r="F17" s="785"/>
      <c r="G17" s="785"/>
      <c r="H17" s="785"/>
    </row>
    <row r="18" spans="1:8" s="330" customFormat="1" ht="12" customHeight="1">
      <c r="A18" s="375" t="s">
        <v>81</v>
      </c>
      <c r="B18" s="190" t="s">
        <v>300</v>
      </c>
      <c r="C18" s="243"/>
      <c r="D18" s="388"/>
      <c r="E18" s="718"/>
      <c r="F18" s="785"/>
      <c r="G18" s="785"/>
      <c r="H18" s="785"/>
    </row>
    <row r="19" spans="1:8" s="354" customFormat="1" ht="12" customHeight="1" thickBot="1">
      <c r="A19" s="375" t="s">
        <v>82</v>
      </c>
      <c r="B19" s="189" t="s">
        <v>302</v>
      </c>
      <c r="C19" s="245"/>
      <c r="D19" s="102">
        <v>10000</v>
      </c>
      <c r="E19" s="719">
        <v>9315</v>
      </c>
      <c r="F19" s="786">
        <v>9315</v>
      </c>
      <c r="G19" s="786"/>
      <c r="H19" s="786"/>
    </row>
    <row r="20" spans="1:8" s="354" customFormat="1" ht="12" customHeight="1" thickBot="1">
      <c r="A20" s="309" t="s">
        <v>7</v>
      </c>
      <c r="B20" s="365" t="s">
        <v>511</v>
      </c>
      <c r="C20" s="246">
        <f aca="true" t="shared" si="1" ref="C20:H20">SUM(C21:C23)</f>
        <v>0</v>
      </c>
      <c r="D20" s="386">
        <f t="shared" si="1"/>
        <v>0</v>
      </c>
      <c r="E20" s="371">
        <f t="shared" si="1"/>
        <v>0</v>
      </c>
      <c r="F20" s="371">
        <f t="shared" si="1"/>
        <v>0</v>
      </c>
      <c r="G20" s="371">
        <f t="shared" si="1"/>
        <v>0</v>
      </c>
      <c r="H20" s="371">
        <f t="shared" si="1"/>
        <v>0</v>
      </c>
    </row>
    <row r="21" spans="1:8" s="354" customFormat="1" ht="12" customHeight="1">
      <c r="A21" s="375" t="s">
        <v>72</v>
      </c>
      <c r="B21" s="191" t="s">
        <v>270</v>
      </c>
      <c r="C21" s="243"/>
      <c r="D21" s="388"/>
      <c r="E21" s="101"/>
      <c r="F21" s="101"/>
      <c r="G21" s="101"/>
      <c r="H21" s="101"/>
    </row>
    <row r="22" spans="1:8" s="354" customFormat="1" ht="12" customHeight="1">
      <c r="A22" s="375" t="s">
        <v>73</v>
      </c>
      <c r="B22" s="190" t="s">
        <v>512</v>
      </c>
      <c r="C22" s="243"/>
      <c r="D22" s="388"/>
      <c r="E22" s="101"/>
      <c r="F22" s="101"/>
      <c r="G22" s="101"/>
      <c r="H22" s="101"/>
    </row>
    <row r="23" spans="1:8" s="354" customFormat="1" ht="12" customHeight="1">
      <c r="A23" s="375" t="s">
        <v>74</v>
      </c>
      <c r="B23" s="190" t="s">
        <v>513</v>
      </c>
      <c r="C23" s="243"/>
      <c r="D23" s="388"/>
      <c r="E23" s="101"/>
      <c r="F23" s="101"/>
      <c r="G23" s="101"/>
      <c r="H23" s="101"/>
    </row>
    <row r="24" spans="1:8" s="330" customFormat="1" ht="12" customHeight="1" thickBot="1">
      <c r="A24" s="375" t="s">
        <v>75</v>
      </c>
      <c r="B24" s="190" t="s">
        <v>619</v>
      </c>
      <c r="C24" s="243"/>
      <c r="D24" s="388"/>
      <c r="E24" s="101"/>
      <c r="F24" s="101"/>
      <c r="G24" s="101"/>
      <c r="H24" s="101"/>
    </row>
    <row r="25" spans="1:8" s="330" customFormat="1" ht="12" customHeight="1" thickBot="1">
      <c r="A25" s="364" t="s">
        <v>8</v>
      </c>
      <c r="B25" s="199" t="s">
        <v>118</v>
      </c>
      <c r="C25" s="36"/>
      <c r="D25" s="389"/>
      <c r="E25" s="370"/>
      <c r="F25" s="370"/>
      <c r="G25" s="370"/>
      <c r="H25" s="370"/>
    </row>
    <row r="26" spans="1:8" s="330" customFormat="1" ht="12" customHeight="1" thickBot="1">
      <c r="A26" s="364" t="s">
        <v>9</v>
      </c>
      <c r="B26" s="199" t="s">
        <v>514</v>
      </c>
      <c r="C26" s="246">
        <f aca="true" t="shared" si="2" ref="C26:H26">+C27+C28</f>
        <v>0</v>
      </c>
      <c r="D26" s="386">
        <f t="shared" si="2"/>
        <v>0</v>
      </c>
      <c r="E26" s="371">
        <f t="shared" si="2"/>
        <v>0</v>
      </c>
      <c r="F26" s="371">
        <f t="shared" si="2"/>
        <v>0</v>
      </c>
      <c r="G26" s="371">
        <f t="shared" si="2"/>
        <v>0</v>
      </c>
      <c r="H26" s="371">
        <f t="shared" si="2"/>
        <v>0</v>
      </c>
    </row>
    <row r="27" spans="1:8" s="330" customFormat="1" ht="12" customHeight="1">
      <c r="A27" s="376" t="s">
        <v>284</v>
      </c>
      <c r="B27" s="377" t="s">
        <v>512</v>
      </c>
      <c r="C27" s="90"/>
      <c r="D27" s="382"/>
      <c r="E27" s="358"/>
      <c r="F27" s="358"/>
      <c r="G27" s="358"/>
      <c r="H27" s="358"/>
    </row>
    <row r="28" spans="1:8" s="330" customFormat="1" ht="12" customHeight="1">
      <c r="A28" s="376" t="s">
        <v>286</v>
      </c>
      <c r="B28" s="378" t="s">
        <v>515</v>
      </c>
      <c r="C28" s="247"/>
      <c r="D28" s="390"/>
      <c r="E28" s="357"/>
      <c r="F28" s="357"/>
      <c r="G28" s="357"/>
      <c r="H28" s="357"/>
    </row>
    <row r="29" spans="1:8" s="330" customFormat="1" ht="12" customHeight="1" thickBot="1">
      <c r="A29" s="375" t="s">
        <v>287</v>
      </c>
      <c r="B29" s="379" t="s">
        <v>620</v>
      </c>
      <c r="C29" s="361"/>
      <c r="D29" s="391"/>
      <c r="E29" s="356"/>
      <c r="F29" s="356"/>
      <c r="G29" s="356"/>
      <c r="H29" s="356"/>
    </row>
    <row r="30" spans="1:8" s="330" customFormat="1" ht="12" customHeight="1" thickBot="1">
      <c r="A30" s="364" t="s">
        <v>10</v>
      </c>
      <c r="B30" s="199" t="s">
        <v>516</v>
      </c>
      <c r="C30" s="246">
        <f aca="true" t="shared" si="3" ref="C30:H30">+C31+C32+C33</f>
        <v>0</v>
      </c>
      <c r="D30" s="386">
        <f t="shared" si="3"/>
        <v>0</v>
      </c>
      <c r="E30" s="371">
        <f t="shared" si="3"/>
        <v>0</v>
      </c>
      <c r="F30" s="371">
        <f t="shared" si="3"/>
        <v>0</v>
      </c>
      <c r="G30" s="371">
        <f t="shared" si="3"/>
        <v>0</v>
      </c>
      <c r="H30" s="371">
        <f t="shared" si="3"/>
        <v>0</v>
      </c>
    </row>
    <row r="31" spans="1:8" s="330" customFormat="1" ht="12" customHeight="1">
      <c r="A31" s="376" t="s">
        <v>59</v>
      </c>
      <c r="B31" s="377" t="s">
        <v>304</v>
      </c>
      <c r="C31" s="90"/>
      <c r="D31" s="382"/>
      <c r="E31" s="358"/>
      <c r="F31" s="358"/>
      <c r="G31" s="358"/>
      <c r="H31" s="358"/>
    </row>
    <row r="32" spans="1:8" s="330" customFormat="1" ht="12" customHeight="1">
      <c r="A32" s="376" t="s">
        <v>60</v>
      </c>
      <c r="B32" s="378" t="s">
        <v>305</v>
      </c>
      <c r="C32" s="247"/>
      <c r="D32" s="390"/>
      <c r="E32" s="357"/>
      <c r="F32" s="357"/>
      <c r="G32" s="357"/>
      <c r="H32" s="357"/>
    </row>
    <row r="33" spans="1:8" s="330" customFormat="1" ht="12" customHeight="1" thickBot="1">
      <c r="A33" s="375" t="s">
        <v>61</v>
      </c>
      <c r="B33" s="363" t="s">
        <v>307</v>
      </c>
      <c r="C33" s="361"/>
      <c r="D33" s="391"/>
      <c r="E33" s="356"/>
      <c r="F33" s="356"/>
      <c r="G33" s="356"/>
      <c r="H33" s="356"/>
    </row>
    <row r="34" spans="1:8" s="330" customFormat="1" ht="12" customHeight="1" thickBot="1">
      <c r="A34" s="364" t="s">
        <v>11</v>
      </c>
      <c r="B34" s="199" t="s">
        <v>431</v>
      </c>
      <c r="C34" s="36"/>
      <c r="D34" s="389"/>
      <c r="E34" s="370"/>
      <c r="F34" s="370"/>
      <c r="G34" s="370"/>
      <c r="H34" s="370"/>
    </row>
    <row r="35" spans="1:8" s="330" customFormat="1" ht="12" customHeight="1" thickBot="1">
      <c r="A35" s="364" t="s">
        <v>12</v>
      </c>
      <c r="B35" s="199" t="s">
        <v>517</v>
      </c>
      <c r="C35" s="36"/>
      <c r="D35" s="389"/>
      <c r="E35" s="370"/>
      <c r="F35" s="370"/>
      <c r="G35" s="370"/>
      <c r="H35" s="370"/>
    </row>
    <row r="36" spans="1:8" s="330" customFormat="1" ht="12" customHeight="1" thickBot="1">
      <c r="A36" s="309" t="s">
        <v>13</v>
      </c>
      <c r="B36" s="199" t="s">
        <v>518</v>
      </c>
      <c r="C36" s="246">
        <f aca="true" t="shared" si="4" ref="C36:H36">+C8+C20+C25+C26+C30+C34+C35</f>
        <v>0</v>
      </c>
      <c r="D36" s="386">
        <f t="shared" si="4"/>
        <v>10010</v>
      </c>
      <c r="E36" s="371">
        <f t="shared" si="4"/>
        <v>9317</v>
      </c>
      <c r="F36" s="371">
        <f t="shared" si="4"/>
        <v>9317</v>
      </c>
      <c r="G36" s="371">
        <f t="shared" si="4"/>
        <v>0</v>
      </c>
      <c r="H36" s="371">
        <f t="shared" si="4"/>
        <v>0</v>
      </c>
    </row>
    <row r="37" spans="1:8" s="354" customFormat="1" ht="12" customHeight="1" thickBot="1">
      <c r="A37" s="366" t="s">
        <v>14</v>
      </c>
      <c r="B37" s="199" t="s">
        <v>519</v>
      </c>
      <c r="C37" s="246">
        <f>+C38+C39+C40</f>
        <v>136322956</v>
      </c>
      <c r="D37" s="386">
        <f>+D38+D39+D40</f>
        <v>148632234</v>
      </c>
      <c r="E37" s="371">
        <f>+E38+E39+E40</f>
        <v>88382616</v>
      </c>
      <c r="F37" s="371">
        <f>+F38+F39+F40</f>
        <v>86354408</v>
      </c>
      <c r="G37" s="371">
        <f>+G38+G39+G40</f>
        <v>2028208</v>
      </c>
      <c r="H37" s="371"/>
    </row>
    <row r="38" spans="1:8" s="354" customFormat="1" ht="15" customHeight="1">
      <c r="A38" s="376" t="s">
        <v>520</v>
      </c>
      <c r="B38" s="377" t="s">
        <v>159</v>
      </c>
      <c r="C38" s="90"/>
      <c r="D38" s="382">
        <v>1213482</v>
      </c>
      <c r="E38" s="358">
        <v>1213482</v>
      </c>
      <c r="F38" s="358">
        <v>1213482</v>
      </c>
      <c r="G38" s="358"/>
      <c r="H38" s="358"/>
    </row>
    <row r="39" spans="1:8" s="354" customFormat="1" ht="15" customHeight="1">
      <c r="A39" s="376" t="s">
        <v>521</v>
      </c>
      <c r="B39" s="378" t="s">
        <v>2</v>
      </c>
      <c r="C39" s="247"/>
      <c r="D39" s="390"/>
      <c r="E39" s="357"/>
      <c r="F39" s="357"/>
      <c r="G39" s="357"/>
      <c r="H39" s="357"/>
    </row>
    <row r="40" spans="1:8" ht="13.5" thickBot="1">
      <c r="A40" s="375" t="s">
        <v>522</v>
      </c>
      <c r="B40" s="363" t="s">
        <v>523</v>
      </c>
      <c r="C40" s="361">
        <v>136322956</v>
      </c>
      <c r="D40" s="391">
        <v>147418752</v>
      </c>
      <c r="E40" s="356">
        <v>87169134</v>
      </c>
      <c r="F40" s="356">
        <f>E40-G40</f>
        <v>85140926</v>
      </c>
      <c r="G40" s="356">
        <v>2028208</v>
      </c>
      <c r="H40" s="356"/>
    </row>
    <row r="41" spans="1:8" s="353" customFormat="1" ht="16.5" customHeight="1" thickBot="1">
      <c r="A41" s="366" t="s">
        <v>15</v>
      </c>
      <c r="B41" s="367" t="s">
        <v>524</v>
      </c>
      <c r="C41" s="95">
        <f>+C36+C37</f>
        <v>136322956</v>
      </c>
      <c r="D41" s="392">
        <f>+D36+D37</f>
        <v>148642244</v>
      </c>
      <c r="E41" s="372">
        <f>+E36+E37</f>
        <v>88391933</v>
      </c>
      <c r="F41" s="372">
        <f>+F36+F37</f>
        <v>86363725</v>
      </c>
      <c r="G41" s="372">
        <f>+G36+G37</f>
        <v>2028208</v>
      </c>
      <c r="H41" s="372"/>
    </row>
    <row r="42" spans="1:5" s="186" customFormat="1" ht="12" customHeight="1">
      <c r="A42" s="315"/>
      <c r="B42" s="316"/>
      <c r="C42" s="328"/>
      <c r="D42" s="328"/>
      <c r="E42" s="328"/>
    </row>
    <row r="43" spans="1:5" ht="12" customHeight="1" thickBot="1">
      <c r="A43" s="317"/>
      <c r="B43" s="318"/>
      <c r="C43" s="329"/>
      <c r="D43" s="329"/>
      <c r="E43" s="329"/>
    </row>
    <row r="44" spans="1:8" ht="12" customHeight="1" thickBot="1">
      <c r="A44" s="929" t="s">
        <v>42</v>
      </c>
      <c r="B44" s="930"/>
      <c r="C44" s="930"/>
      <c r="D44" s="930"/>
      <c r="E44" s="930"/>
      <c r="F44" s="930"/>
      <c r="G44" s="930"/>
      <c r="H44" s="931"/>
    </row>
    <row r="45" spans="1:8" ht="12" customHeight="1" thickBot="1">
      <c r="A45" s="666" t="s">
        <v>6</v>
      </c>
      <c r="B45" s="667" t="s">
        <v>525</v>
      </c>
      <c r="C45" s="668">
        <f aca="true" t="shared" si="5" ref="C45:H45">SUM(C46:C50)</f>
        <v>135789556</v>
      </c>
      <c r="D45" s="668">
        <f t="shared" si="5"/>
        <v>142162243</v>
      </c>
      <c r="E45" s="668">
        <f t="shared" si="5"/>
        <v>79844357</v>
      </c>
      <c r="F45" s="669">
        <f t="shared" si="5"/>
        <v>77816149</v>
      </c>
      <c r="G45" s="669">
        <f t="shared" si="5"/>
        <v>2028208</v>
      </c>
      <c r="H45" s="669">
        <f t="shared" si="5"/>
        <v>0</v>
      </c>
    </row>
    <row r="46" spans="1:8" ht="12" customHeight="1">
      <c r="A46" s="375" t="s">
        <v>66</v>
      </c>
      <c r="B46" s="191" t="s">
        <v>36</v>
      </c>
      <c r="C46" s="90">
        <v>99790574</v>
      </c>
      <c r="D46" s="90">
        <v>105650130</v>
      </c>
      <c r="E46" s="358">
        <v>58987474</v>
      </c>
      <c r="F46" s="358">
        <f>E46-G46</f>
        <v>57533874</v>
      </c>
      <c r="G46" s="358">
        <v>1453600</v>
      </c>
      <c r="H46" s="358"/>
    </row>
    <row r="47" spans="1:8" ht="12" customHeight="1">
      <c r="A47" s="375" t="s">
        <v>67</v>
      </c>
      <c r="B47" s="190" t="s">
        <v>127</v>
      </c>
      <c r="C47" s="240">
        <v>19459162</v>
      </c>
      <c r="D47" s="240">
        <v>21198242</v>
      </c>
      <c r="E47" s="380">
        <v>10854803</v>
      </c>
      <c r="F47" s="358">
        <f>E47-G47</f>
        <v>10280195</v>
      </c>
      <c r="G47" s="380">
        <v>574608</v>
      </c>
      <c r="H47" s="380"/>
    </row>
    <row r="48" spans="1:8" ht="12" customHeight="1">
      <c r="A48" s="375" t="s">
        <v>68</v>
      </c>
      <c r="B48" s="190" t="s">
        <v>95</v>
      </c>
      <c r="C48" s="240">
        <v>16539820</v>
      </c>
      <c r="D48" s="240">
        <v>15313871</v>
      </c>
      <c r="E48" s="380">
        <v>10002080</v>
      </c>
      <c r="F48" s="358">
        <f>E48-G48</f>
        <v>10002080</v>
      </c>
      <c r="G48" s="380"/>
      <c r="H48" s="380"/>
    </row>
    <row r="49" spans="1:8" s="186" customFormat="1" ht="12" customHeight="1">
      <c r="A49" s="375" t="s">
        <v>69</v>
      </c>
      <c r="B49" s="190" t="s">
        <v>128</v>
      </c>
      <c r="C49" s="240"/>
      <c r="D49" s="240"/>
      <c r="E49" s="380"/>
      <c r="F49" s="358">
        <f>E49-G49</f>
        <v>0</v>
      </c>
      <c r="G49" s="380"/>
      <c r="H49" s="380"/>
    </row>
    <row r="50" spans="1:8" ht="12" customHeight="1" thickBot="1">
      <c r="A50" s="375" t="s">
        <v>101</v>
      </c>
      <c r="B50" s="190" t="s">
        <v>129</v>
      </c>
      <c r="C50" s="240"/>
      <c r="D50" s="240"/>
      <c r="E50" s="380"/>
      <c r="F50" s="358">
        <f>E50-G50</f>
        <v>0</v>
      </c>
      <c r="G50" s="380"/>
      <c r="H50" s="380"/>
    </row>
    <row r="51" spans="1:8" ht="12" customHeight="1" thickBot="1">
      <c r="A51" s="364" t="s">
        <v>7</v>
      </c>
      <c r="B51" s="199" t="s">
        <v>526</v>
      </c>
      <c r="C51" s="246">
        <f aca="true" t="shared" si="6" ref="C51:H51">SUM(C52:C54)</f>
        <v>533400</v>
      </c>
      <c r="D51" s="246">
        <f t="shared" si="6"/>
        <v>6480001</v>
      </c>
      <c r="E51" s="371">
        <f t="shared" si="6"/>
        <v>5915204</v>
      </c>
      <c r="F51" s="371">
        <f t="shared" si="6"/>
        <v>5915204</v>
      </c>
      <c r="G51" s="371">
        <f t="shared" si="6"/>
        <v>0</v>
      </c>
      <c r="H51" s="371">
        <f t="shared" si="6"/>
        <v>0</v>
      </c>
    </row>
    <row r="52" spans="1:8" ht="12" customHeight="1">
      <c r="A52" s="375" t="s">
        <v>72</v>
      </c>
      <c r="B52" s="191" t="s">
        <v>150</v>
      </c>
      <c r="C52" s="90">
        <v>406400</v>
      </c>
      <c r="D52" s="90">
        <v>6353001</v>
      </c>
      <c r="E52" s="358">
        <v>5915204</v>
      </c>
      <c r="F52" s="358">
        <f>E52-G52</f>
        <v>5915204</v>
      </c>
      <c r="G52" s="358"/>
      <c r="H52" s="358"/>
    </row>
    <row r="53" spans="1:8" ht="12" customHeight="1">
      <c r="A53" s="375" t="s">
        <v>73</v>
      </c>
      <c r="B53" s="190" t="s">
        <v>131</v>
      </c>
      <c r="C53" s="240">
        <v>127000</v>
      </c>
      <c r="D53" s="240">
        <v>127000</v>
      </c>
      <c r="E53" s="380">
        <v>0</v>
      </c>
      <c r="F53" s="358">
        <f>E53-G53</f>
        <v>0</v>
      </c>
      <c r="G53" s="380"/>
      <c r="H53" s="380"/>
    </row>
    <row r="54" spans="1:8" ht="15" customHeight="1">
      <c r="A54" s="375" t="s">
        <v>74</v>
      </c>
      <c r="B54" s="190" t="s">
        <v>43</v>
      </c>
      <c r="C54" s="240"/>
      <c r="D54" s="240"/>
      <c r="E54" s="380"/>
      <c r="F54" s="358">
        <f>E54-G54</f>
        <v>0</v>
      </c>
      <c r="G54" s="380"/>
      <c r="H54" s="380"/>
    </row>
    <row r="55" spans="1:8" ht="13.5" thickBot="1">
      <c r="A55" s="375" t="s">
        <v>75</v>
      </c>
      <c r="B55" s="190" t="s">
        <v>621</v>
      </c>
      <c r="C55" s="240"/>
      <c r="D55" s="240"/>
      <c r="E55" s="380"/>
      <c r="F55" s="358">
        <f>E55-G55</f>
        <v>0</v>
      </c>
      <c r="G55" s="380"/>
      <c r="H55" s="380"/>
    </row>
    <row r="56" spans="1:8" ht="15" customHeight="1" thickBot="1">
      <c r="A56" s="364" t="s">
        <v>8</v>
      </c>
      <c r="B56" s="368" t="s">
        <v>527</v>
      </c>
      <c r="C56" s="95">
        <f aca="true" t="shared" si="7" ref="C56:H56">+C45+C51</f>
        <v>136322956</v>
      </c>
      <c r="D56" s="95">
        <f t="shared" si="7"/>
        <v>148642244</v>
      </c>
      <c r="E56" s="372">
        <f t="shared" si="7"/>
        <v>85759561</v>
      </c>
      <c r="F56" s="372">
        <f t="shared" si="7"/>
        <v>83731353</v>
      </c>
      <c r="G56" s="372">
        <f t="shared" si="7"/>
        <v>2028208</v>
      </c>
      <c r="H56" s="372">
        <f t="shared" si="7"/>
        <v>0</v>
      </c>
    </row>
    <row r="57" spans="3:5" ht="13.5" thickBot="1">
      <c r="C57" s="373"/>
      <c r="D57" s="373"/>
      <c r="E57" s="373"/>
    </row>
    <row r="58" spans="1:8" ht="13.5" thickBot="1">
      <c r="A58" s="319" t="s">
        <v>614</v>
      </c>
      <c r="B58" s="320"/>
      <c r="C58" s="99">
        <v>24</v>
      </c>
      <c r="D58" s="99">
        <v>24</v>
      </c>
      <c r="E58" s="362">
        <v>24</v>
      </c>
      <c r="F58" s="362"/>
      <c r="G58" s="362"/>
      <c r="H58" s="362"/>
    </row>
    <row r="59" spans="1:8" ht="13.5" thickBot="1">
      <c r="A59" s="319" t="s">
        <v>143</v>
      </c>
      <c r="B59" s="320"/>
      <c r="C59" s="99">
        <v>0</v>
      </c>
      <c r="D59" s="99">
        <v>0</v>
      </c>
      <c r="E59" s="362">
        <v>0</v>
      </c>
      <c r="F59" s="362">
        <v>0</v>
      </c>
      <c r="G59" s="362">
        <v>0</v>
      </c>
      <c r="H59" s="362">
        <v>0</v>
      </c>
    </row>
  </sheetData>
  <sheetProtection formatCells="0"/>
  <mergeCells count="5">
    <mergeCell ref="A44:H44"/>
    <mergeCell ref="A7:E7"/>
    <mergeCell ref="B2:H2"/>
    <mergeCell ref="B3:H3"/>
    <mergeCell ref="E1:H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H59"/>
  <sheetViews>
    <sheetView zoomScaleSheetLayoutView="145" workbookViewId="0" topLeftCell="A37">
      <selection activeCell="J18" sqref="J18"/>
    </sheetView>
  </sheetViews>
  <sheetFormatPr defaultColWidth="9.375" defaultRowHeight="12.75"/>
  <cols>
    <col min="1" max="1" width="18.625" style="369" customWidth="1"/>
    <col min="2" max="2" width="62.00390625" style="27" customWidth="1"/>
    <col min="3" max="5" width="15.75390625" style="27" customWidth="1"/>
    <col min="6" max="6" width="14.125" style="27" customWidth="1"/>
    <col min="7" max="7" width="12.50390625" style="27" customWidth="1"/>
    <col min="8" max="8" width="13.125" style="27" customWidth="1"/>
    <col min="9" max="16384" width="9.375" style="27" customWidth="1"/>
  </cols>
  <sheetData>
    <row r="1" spans="1:8" s="311" customFormat="1" ht="21" customHeight="1" thickBot="1">
      <c r="A1" s="728"/>
      <c r="B1" s="728"/>
      <c r="C1" s="728"/>
      <c r="D1" s="728" t="s">
        <v>891</v>
      </c>
      <c r="E1" s="928" t="str">
        <f>ÖSSZEFÜGGÉSEK!A40</f>
        <v> a 7/2020.(VII.1.) önkormányzati rendelethez</v>
      </c>
      <c r="F1" s="928"/>
      <c r="G1" s="928"/>
      <c r="H1" s="928"/>
    </row>
    <row r="2" spans="1:8" s="351" customFormat="1" ht="25.5" customHeight="1">
      <c r="A2" s="334" t="s">
        <v>141</v>
      </c>
      <c r="B2" s="920" t="s">
        <v>668</v>
      </c>
      <c r="C2" s="921"/>
      <c r="D2" s="921"/>
      <c r="E2" s="921"/>
      <c r="F2" s="921"/>
      <c r="G2" s="921"/>
      <c r="H2" s="922"/>
    </row>
    <row r="3" spans="1:8" s="351" customFormat="1" ht="15.75" thickBot="1">
      <c r="A3" s="350" t="s">
        <v>140</v>
      </c>
      <c r="B3" s="923" t="s">
        <v>502</v>
      </c>
      <c r="C3" s="924"/>
      <c r="D3" s="924"/>
      <c r="E3" s="924"/>
      <c r="F3" s="924"/>
      <c r="G3" s="924"/>
      <c r="H3" s="925"/>
    </row>
    <row r="4" spans="1:8" s="352" customFormat="1" ht="15.75" customHeight="1" thickBot="1">
      <c r="A4" s="312"/>
      <c r="B4" s="312"/>
      <c r="C4" s="313"/>
      <c r="D4" s="313"/>
      <c r="E4" s="313"/>
      <c r="F4" s="313"/>
      <c r="G4" s="313"/>
      <c r="H4" s="313" t="s">
        <v>673</v>
      </c>
    </row>
    <row r="5" spans="1:8" ht="23.25" thickBot="1">
      <c r="A5" s="187" t="s">
        <v>142</v>
      </c>
      <c r="B5" s="188" t="s">
        <v>40</v>
      </c>
      <c r="C5" s="87" t="s">
        <v>172</v>
      </c>
      <c r="D5" s="87" t="s">
        <v>176</v>
      </c>
      <c r="E5" s="314" t="s">
        <v>177</v>
      </c>
      <c r="F5" s="314" t="s">
        <v>872</v>
      </c>
      <c r="G5" s="314" t="s">
        <v>873</v>
      </c>
      <c r="H5" s="314" t="s">
        <v>874</v>
      </c>
    </row>
    <row r="6" spans="1:8" s="353" customFormat="1" ht="12.75" customHeight="1" thickBot="1">
      <c r="A6" s="309" t="s">
        <v>372</v>
      </c>
      <c r="B6" s="310" t="s">
        <v>373</v>
      </c>
      <c r="C6" s="310" t="s">
        <v>374</v>
      </c>
      <c r="D6" s="98" t="s">
        <v>375</v>
      </c>
      <c r="E6" s="96" t="s">
        <v>376</v>
      </c>
      <c r="F6" s="96" t="s">
        <v>451</v>
      </c>
      <c r="G6" s="96" t="s">
        <v>452</v>
      </c>
      <c r="H6" s="96" t="s">
        <v>453</v>
      </c>
    </row>
    <row r="7" spans="1:8" s="353" customFormat="1" ht="15.75" customHeight="1" thickBot="1">
      <c r="A7" s="932" t="s">
        <v>41</v>
      </c>
      <c r="B7" s="933"/>
      <c r="C7" s="933"/>
      <c r="D7" s="933"/>
      <c r="E7" s="933"/>
      <c r="F7" s="933"/>
      <c r="G7" s="933"/>
      <c r="H7" s="933"/>
    </row>
    <row r="8" spans="1:8" s="330" customFormat="1" ht="12" customHeight="1" thickBot="1">
      <c r="A8" s="418" t="s">
        <v>6</v>
      </c>
      <c r="B8" s="419" t="s">
        <v>508</v>
      </c>
      <c r="C8" s="420">
        <f aca="true" t="shared" si="0" ref="C8:H8">SUM(C9:C19)</f>
        <v>98212000</v>
      </c>
      <c r="D8" s="386">
        <f t="shared" si="0"/>
        <v>98216705</v>
      </c>
      <c r="E8" s="371">
        <f t="shared" si="0"/>
        <v>72572990</v>
      </c>
      <c r="F8" s="720">
        <f t="shared" si="0"/>
        <v>72572990</v>
      </c>
      <c r="G8" s="371">
        <f t="shared" si="0"/>
        <v>0</v>
      </c>
      <c r="H8" s="371">
        <f t="shared" si="0"/>
        <v>0</v>
      </c>
    </row>
    <row r="9" spans="1:8" s="330" customFormat="1" ht="12" customHeight="1">
      <c r="A9" s="374" t="s">
        <v>66</v>
      </c>
      <c r="B9" s="192" t="s">
        <v>291</v>
      </c>
      <c r="C9" s="93">
        <v>7000000</v>
      </c>
      <c r="D9" s="387">
        <v>7000000</v>
      </c>
      <c r="E9" s="717">
        <v>1817888</v>
      </c>
      <c r="F9" s="784">
        <f>E9-G9</f>
        <v>1817888</v>
      </c>
      <c r="G9" s="784"/>
      <c r="H9" s="784"/>
    </row>
    <row r="10" spans="1:8" s="330" customFormat="1" ht="12" customHeight="1">
      <c r="A10" s="375" t="s">
        <v>67</v>
      </c>
      <c r="B10" s="190" t="s">
        <v>292</v>
      </c>
      <c r="C10" s="243">
        <v>61632000</v>
      </c>
      <c r="D10" s="388">
        <v>61632000</v>
      </c>
      <c r="E10" s="718">
        <v>45838161</v>
      </c>
      <c r="F10" s="790">
        <f aca="true" t="shared" si="1" ref="F10:F19">E10-G10</f>
        <v>45838161</v>
      </c>
      <c r="G10" s="785"/>
      <c r="H10" s="785"/>
    </row>
    <row r="11" spans="1:8" s="330" customFormat="1" ht="12" customHeight="1">
      <c r="A11" s="375" t="s">
        <v>68</v>
      </c>
      <c r="B11" s="190" t="s">
        <v>293</v>
      </c>
      <c r="C11" s="243">
        <v>8500000</v>
      </c>
      <c r="D11" s="388">
        <v>8500000</v>
      </c>
      <c r="E11" s="718">
        <v>3802390</v>
      </c>
      <c r="F11" s="790">
        <f t="shared" si="1"/>
        <v>3802390</v>
      </c>
      <c r="G11" s="785"/>
      <c r="H11" s="785"/>
    </row>
    <row r="12" spans="1:8" s="330" customFormat="1" ht="12" customHeight="1">
      <c r="A12" s="375" t="s">
        <v>69</v>
      </c>
      <c r="B12" s="190" t="s">
        <v>294</v>
      </c>
      <c r="C12" s="243"/>
      <c r="D12" s="388"/>
      <c r="E12" s="718"/>
      <c r="F12" s="790">
        <f t="shared" si="1"/>
        <v>0</v>
      </c>
      <c r="G12" s="785"/>
      <c r="H12" s="785"/>
    </row>
    <row r="13" spans="1:8" s="330" customFormat="1" ht="12" customHeight="1">
      <c r="A13" s="375" t="s">
        <v>101</v>
      </c>
      <c r="B13" s="190" t="s">
        <v>295</v>
      </c>
      <c r="C13" s="243">
        <v>3317000</v>
      </c>
      <c r="D13" s="388">
        <v>3317000</v>
      </c>
      <c r="E13" s="718">
        <v>6142009</v>
      </c>
      <c r="F13" s="790">
        <f t="shared" si="1"/>
        <v>6142009</v>
      </c>
      <c r="G13" s="785"/>
      <c r="H13" s="785"/>
    </row>
    <row r="14" spans="1:8" s="330" customFormat="1" ht="12" customHeight="1">
      <c r="A14" s="375" t="s">
        <v>70</v>
      </c>
      <c r="B14" s="190" t="s">
        <v>509</v>
      </c>
      <c r="C14" s="243">
        <v>17675000</v>
      </c>
      <c r="D14" s="388">
        <v>17675000</v>
      </c>
      <c r="E14" s="718">
        <v>14789325</v>
      </c>
      <c r="F14" s="790">
        <f t="shared" si="1"/>
        <v>14789325</v>
      </c>
      <c r="G14" s="785"/>
      <c r="H14" s="785"/>
    </row>
    <row r="15" spans="1:8" s="354" customFormat="1" ht="12" customHeight="1">
      <c r="A15" s="375" t="s">
        <v>71</v>
      </c>
      <c r="B15" s="189" t="s">
        <v>510</v>
      </c>
      <c r="C15" s="245"/>
      <c r="D15" s="102"/>
      <c r="E15" s="719"/>
      <c r="F15" s="791">
        <f t="shared" si="1"/>
        <v>0</v>
      </c>
      <c r="G15" s="793"/>
      <c r="H15" s="793"/>
    </row>
    <row r="16" spans="1:8" s="354" customFormat="1" ht="12" customHeight="1">
      <c r="A16" s="375" t="s">
        <v>79</v>
      </c>
      <c r="B16" s="788" t="s">
        <v>298</v>
      </c>
      <c r="C16" s="243">
        <v>8000</v>
      </c>
      <c r="D16" s="243">
        <v>8000</v>
      </c>
      <c r="E16" s="244">
        <v>17</v>
      </c>
      <c r="F16" s="785">
        <f t="shared" si="1"/>
        <v>17</v>
      </c>
      <c r="G16" s="785"/>
      <c r="H16" s="785"/>
    </row>
    <row r="17" spans="1:8" s="354" customFormat="1" ht="12" customHeight="1">
      <c r="A17" s="375" t="s">
        <v>80</v>
      </c>
      <c r="B17" s="788" t="s">
        <v>939</v>
      </c>
      <c r="C17" s="243"/>
      <c r="D17" s="243"/>
      <c r="E17" s="244"/>
      <c r="F17" s="785"/>
      <c r="G17" s="785"/>
      <c r="H17" s="785"/>
    </row>
    <row r="18" spans="1:8" s="330" customFormat="1" ht="12" customHeight="1">
      <c r="A18" s="375" t="s">
        <v>81</v>
      </c>
      <c r="B18" s="190" t="s">
        <v>300</v>
      </c>
      <c r="C18" s="242"/>
      <c r="D18" s="787"/>
      <c r="E18" s="789"/>
      <c r="F18" s="790">
        <f t="shared" si="1"/>
        <v>0</v>
      </c>
      <c r="G18" s="790"/>
      <c r="H18" s="790"/>
    </row>
    <row r="19" spans="1:8" s="354" customFormat="1" ht="12" customHeight="1" thickBot="1">
      <c r="A19" s="375" t="s">
        <v>82</v>
      </c>
      <c r="B19" s="189" t="s">
        <v>302</v>
      </c>
      <c r="C19" s="245">
        <v>80000</v>
      </c>
      <c r="D19" s="102">
        <v>84705</v>
      </c>
      <c r="E19" s="719">
        <v>183200</v>
      </c>
      <c r="F19" s="792">
        <f t="shared" si="1"/>
        <v>183200</v>
      </c>
      <c r="G19" s="786"/>
      <c r="H19" s="786"/>
    </row>
    <row r="20" spans="1:8" s="354" customFormat="1" ht="12" customHeight="1" thickBot="1">
      <c r="A20" s="309" t="s">
        <v>7</v>
      </c>
      <c r="B20" s="365" t="s">
        <v>511</v>
      </c>
      <c r="C20" s="246">
        <f aca="true" t="shared" si="2" ref="C20:H20">SUM(C21:C23)</f>
        <v>78506433</v>
      </c>
      <c r="D20" s="386">
        <f t="shared" si="2"/>
        <v>84499590</v>
      </c>
      <c r="E20" s="371">
        <f t="shared" si="2"/>
        <v>71333233</v>
      </c>
      <c r="F20" s="720">
        <f t="shared" si="2"/>
        <v>71333233</v>
      </c>
      <c r="G20" s="371">
        <f t="shared" si="2"/>
        <v>0</v>
      </c>
      <c r="H20" s="371">
        <f t="shared" si="2"/>
        <v>0</v>
      </c>
    </row>
    <row r="21" spans="1:8" s="354" customFormat="1" ht="12" customHeight="1">
      <c r="A21" s="375" t="s">
        <v>72</v>
      </c>
      <c r="B21" s="191" t="s">
        <v>270</v>
      </c>
      <c r="C21" s="243"/>
      <c r="D21" s="388"/>
      <c r="E21" s="101"/>
      <c r="F21" s="101"/>
      <c r="G21" s="101"/>
      <c r="H21" s="101"/>
    </row>
    <row r="22" spans="1:8" s="354" customFormat="1" ht="12" customHeight="1">
      <c r="A22" s="375" t="s">
        <v>73</v>
      </c>
      <c r="B22" s="190" t="s">
        <v>512</v>
      </c>
      <c r="C22" s="243"/>
      <c r="D22" s="388"/>
      <c r="E22" s="101"/>
      <c r="F22" s="101"/>
      <c r="G22" s="101"/>
      <c r="H22" s="101"/>
    </row>
    <row r="23" spans="1:8" s="354" customFormat="1" ht="12" customHeight="1">
      <c r="A23" s="375" t="s">
        <v>74</v>
      </c>
      <c r="B23" s="190" t="s">
        <v>513</v>
      </c>
      <c r="C23" s="243">
        <v>78506433</v>
      </c>
      <c r="D23" s="388">
        <v>84499590</v>
      </c>
      <c r="E23" s="101">
        <v>71333233</v>
      </c>
      <c r="F23" s="101">
        <v>71333233</v>
      </c>
      <c r="G23" s="101"/>
      <c r="H23" s="101"/>
    </row>
    <row r="24" spans="1:8" s="330" customFormat="1" ht="12" customHeight="1" thickBot="1">
      <c r="A24" s="375" t="s">
        <v>75</v>
      </c>
      <c r="B24" s="190" t="s">
        <v>619</v>
      </c>
      <c r="C24" s="243"/>
      <c r="D24" s="388"/>
      <c r="E24" s="101"/>
      <c r="F24" s="101"/>
      <c r="G24" s="101"/>
      <c r="H24" s="101"/>
    </row>
    <row r="25" spans="1:8" s="330" customFormat="1" ht="12" customHeight="1" thickBot="1">
      <c r="A25" s="364" t="s">
        <v>8</v>
      </c>
      <c r="B25" s="199" t="s">
        <v>118</v>
      </c>
      <c r="C25" s="36"/>
      <c r="D25" s="389"/>
      <c r="E25" s="370"/>
      <c r="F25" s="370"/>
      <c r="G25" s="370"/>
      <c r="H25" s="370"/>
    </row>
    <row r="26" spans="1:8" s="330" customFormat="1" ht="12" customHeight="1" thickBot="1">
      <c r="A26" s="364" t="s">
        <v>9</v>
      </c>
      <c r="B26" s="199" t="s">
        <v>514</v>
      </c>
      <c r="C26" s="246">
        <f aca="true" t="shared" si="3" ref="C26:H26">+C27+C28</f>
        <v>0</v>
      </c>
      <c r="D26" s="386">
        <f t="shared" si="3"/>
        <v>0</v>
      </c>
      <c r="E26" s="371">
        <f t="shared" si="3"/>
        <v>0</v>
      </c>
      <c r="F26" s="371">
        <f t="shared" si="3"/>
        <v>0</v>
      </c>
      <c r="G26" s="371">
        <f t="shared" si="3"/>
        <v>0</v>
      </c>
      <c r="H26" s="371">
        <f t="shared" si="3"/>
        <v>0</v>
      </c>
    </row>
    <row r="27" spans="1:8" s="330" customFormat="1" ht="12" customHeight="1">
      <c r="A27" s="376" t="s">
        <v>284</v>
      </c>
      <c r="B27" s="377" t="s">
        <v>512</v>
      </c>
      <c r="C27" s="90"/>
      <c r="D27" s="382"/>
      <c r="E27" s="358"/>
      <c r="F27" s="358"/>
      <c r="G27" s="358"/>
      <c r="H27" s="358"/>
    </row>
    <row r="28" spans="1:8" s="330" customFormat="1" ht="12" customHeight="1">
      <c r="A28" s="376" t="s">
        <v>286</v>
      </c>
      <c r="B28" s="378" t="s">
        <v>515</v>
      </c>
      <c r="C28" s="247"/>
      <c r="D28" s="390"/>
      <c r="E28" s="357"/>
      <c r="F28" s="357"/>
      <c r="G28" s="357"/>
      <c r="H28" s="357"/>
    </row>
    <row r="29" spans="1:8" s="330" customFormat="1" ht="12" customHeight="1" thickBot="1">
      <c r="A29" s="375" t="s">
        <v>287</v>
      </c>
      <c r="B29" s="379" t="s">
        <v>620</v>
      </c>
      <c r="C29" s="361"/>
      <c r="D29" s="391"/>
      <c r="E29" s="356"/>
      <c r="F29" s="356"/>
      <c r="G29" s="356"/>
      <c r="H29" s="356"/>
    </row>
    <row r="30" spans="1:8" s="330" customFormat="1" ht="12" customHeight="1" thickBot="1">
      <c r="A30" s="364" t="s">
        <v>10</v>
      </c>
      <c r="B30" s="199" t="s">
        <v>516</v>
      </c>
      <c r="C30" s="246">
        <f aca="true" t="shared" si="4" ref="C30:H30">+C31+C32+C33</f>
        <v>0</v>
      </c>
      <c r="D30" s="386">
        <f t="shared" si="4"/>
        <v>0</v>
      </c>
      <c r="E30" s="371">
        <f t="shared" si="4"/>
        <v>530000</v>
      </c>
      <c r="F30" s="371">
        <f t="shared" si="4"/>
        <v>530000</v>
      </c>
      <c r="G30" s="371">
        <f t="shared" si="4"/>
        <v>0</v>
      </c>
      <c r="H30" s="371">
        <f t="shared" si="4"/>
        <v>0</v>
      </c>
    </row>
    <row r="31" spans="1:8" s="330" customFormat="1" ht="12" customHeight="1">
      <c r="A31" s="376" t="s">
        <v>59</v>
      </c>
      <c r="B31" s="377" t="s">
        <v>304</v>
      </c>
      <c r="C31" s="90"/>
      <c r="D31" s="382"/>
      <c r="E31" s="358"/>
      <c r="F31" s="358"/>
      <c r="G31" s="358"/>
      <c r="H31" s="358"/>
    </row>
    <row r="32" spans="1:8" s="330" customFormat="1" ht="12" customHeight="1">
      <c r="A32" s="376" t="s">
        <v>60</v>
      </c>
      <c r="B32" s="378" t="s">
        <v>305</v>
      </c>
      <c r="C32" s="247"/>
      <c r="D32" s="390"/>
      <c r="E32" s="357"/>
      <c r="F32" s="357"/>
      <c r="G32" s="357"/>
      <c r="H32" s="357"/>
    </row>
    <row r="33" spans="1:8" s="330" customFormat="1" ht="12" customHeight="1" thickBot="1">
      <c r="A33" s="375" t="s">
        <v>61</v>
      </c>
      <c r="B33" s="363" t="s">
        <v>307</v>
      </c>
      <c r="C33" s="361"/>
      <c r="D33" s="391"/>
      <c r="E33" s="356">
        <v>530000</v>
      </c>
      <c r="F33" s="356">
        <v>530000</v>
      </c>
      <c r="G33" s="356"/>
      <c r="H33" s="356"/>
    </row>
    <row r="34" spans="1:8" s="330" customFormat="1" ht="12" customHeight="1" thickBot="1">
      <c r="A34" s="364" t="s">
        <v>11</v>
      </c>
      <c r="B34" s="199" t="s">
        <v>431</v>
      </c>
      <c r="C34" s="36"/>
      <c r="D34" s="389"/>
      <c r="E34" s="370"/>
      <c r="F34" s="370"/>
      <c r="G34" s="370"/>
      <c r="H34" s="370"/>
    </row>
    <row r="35" spans="1:8" s="330" customFormat="1" ht="12" customHeight="1" thickBot="1">
      <c r="A35" s="364" t="s">
        <v>12</v>
      </c>
      <c r="B35" s="199" t="s">
        <v>517</v>
      </c>
      <c r="C35" s="36"/>
      <c r="D35" s="389"/>
      <c r="E35" s="370"/>
      <c r="F35" s="370"/>
      <c r="G35" s="370"/>
      <c r="H35" s="370"/>
    </row>
    <row r="36" spans="1:8" s="330" customFormat="1" ht="12" customHeight="1" thickBot="1">
      <c r="A36" s="309" t="s">
        <v>13</v>
      </c>
      <c r="B36" s="199" t="s">
        <v>518</v>
      </c>
      <c r="C36" s="246">
        <f aca="true" t="shared" si="5" ref="C36:H36">+C8+C20+C25+C26+C30+C34+C35</f>
        <v>176718433</v>
      </c>
      <c r="D36" s="246">
        <f t="shared" si="5"/>
        <v>182716295</v>
      </c>
      <c r="E36" s="246">
        <f t="shared" si="5"/>
        <v>144436223</v>
      </c>
      <c r="F36" s="246">
        <f t="shared" si="5"/>
        <v>144436223</v>
      </c>
      <c r="G36" s="246">
        <f t="shared" si="5"/>
        <v>0</v>
      </c>
      <c r="H36" s="246">
        <f t="shared" si="5"/>
        <v>0</v>
      </c>
    </row>
    <row r="37" spans="1:8" s="354" customFormat="1" ht="12" customHeight="1" thickBot="1">
      <c r="A37" s="366" t="s">
        <v>14</v>
      </c>
      <c r="B37" s="199" t="s">
        <v>519</v>
      </c>
      <c r="C37" s="246">
        <f aca="true" t="shared" si="6" ref="C37:H37">+C38+C39+C40</f>
        <v>174104371</v>
      </c>
      <c r="D37" s="386">
        <f t="shared" si="6"/>
        <v>220649560</v>
      </c>
      <c r="E37" s="371">
        <f t="shared" si="6"/>
        <v>271554201</v>
      </c>
      <c r="F37" s="371">
        <f t="shared" si="6"/>
        <v>260754307</v>
      </c>
      <c r="G37" s="371">
        <f t="shared" si="6"/>
        <v>10799894</v>
      </c>
      <c r="H37" s="371">
        <f t="shared" si="6"/>
        <v>0</v>
      </c>
    </row>
    <row r="38" spans="1:8" s="354" customFormat="1" ht="15" customHeight="1">
      <c r="A38" s="376" t="s">
        <v>520</v>
      </c>
      <c r="B38" s="377" t="s">
        <v>159</v>
      </c>
      <c r="C38" s="90"/>
      <c r="D38" s="382">
        <v>10844011</v>
      </c>
      <c r="E38" s="358">
        <v>10844011</v>
      </c>
      <c r="F38" s="358">
        <v>10844011</v>
      </c>
      <c r="G38" s="358"/>
      <c r="H38" s="358"/>
    </row>
    <row r="39" spans="1:8" s="354" customFormat="1" ht="15" customHeight="1">
      <c r="A39" s="376" t="s">
        <v>521</v>
      </c>
      <c r="B39" s="378" t="s">
        <v>2</v>
      </c>
      <c r="C39" s="247"/>
      <c r="D39" s="390"/>
      <c r="E39" s="357"/>
      <c r="F39" s="357"/>
      <c r="G39" s="357"/>
      <c r="H39" s="357"/>
    </row>
    <row r="40" spans="1:8" ht="13.5" thickBot="1">
      <c r="A40" s="375" t="s">
        <v>522</v>
      </c>
      <c r="B40" s="363" t="s">
        <v>523</v>
      </c>
      <c r="C40" s="361">
        <v>174104371</v>
      </c>
      <c r="D40" s="391">
        <v>209805549</v>
      </c>
      <c r="E40" s="356">
        <v>260710190</v>
      </c>
      <c r="F40" s="356">
        <f>E40-G40</f>
        <v>249910296</v>
      </c>
      <c r="G40" s="356">
        <v>10799894</v>
      </c>
      <c r="H40" s="356"/>
    </row>
    <row r="41" spans="1:8" s="353" customFormat="1" ht="16.5" customHeight="1" thickBot="1">
      <c r="A41" s="366" t="s">
        <v>15</v>
      </c>
      <c r="B41" s="367" t="s">
        <v>524</v>
      </c>
      <c r="C41" s="95">
        <f aca="true" t="shared" si="7" ref="C41:H41">+C36+C37</f>
        <v>350822804</v>
      </c>
      <c r="D41" s="95">
        <f t="shared" si="7"/>
        <v>403365855</v>
      </c>
      <c r="E41" s="95">
        <f t="shared" si="7"/>
        <v>415990424</v>
      </c>
      <c r="F41" s="95">
        <f t="shared" si="7"/>
        <v>405190530</v>
      </c>
      <c r="G41" s="95">
        <f t="shared" si="7"/>
        <v>10799894</v>
      </c>
      <c r="H41" s="95">
        <f t="shared" si="7"/>
        <v>0</v>
      </c>
    </row>
    <row r="42" spans="1:5" s="186" customFormat="1" ht="12" customHeight="1">
      <c r="A42" s="315"/>
      <c r="B42" s="316"/>
      <c r="C42" s="328"/>
      <c r="D42" s="328"/>
      <c r="E42" s="328"/>
    </row>
    <row r="43" spans="1:5" ht="12" customHeight="1" thickBot="1">
      <c r="A43" s="317"/>
      <c r="B43" s="318"/>
      <c r="C43" s="329"/>
      <c r="D43" s="329"/>
      <c r="E43" s="329"/>
    </row>
    <row r="44" spans="1:8" ht="12" customHeight="1" thickBot="1">
      <c r="A44" s="916" t="s">
        <v>42</v>
      </c>
      <c r="B44" s="917"/>
      <c r="C44" s="917"/>
      <c r="D44" s="917"/>
      <c r="E44" s="917"/>
      <c r="F44" s="917"/>
      <c r="G44" s="917"/>
      <c r="H44" s="918"/>
    </row>
    <row r="45" spans="1:8" ht="12" customHeight="1" thickBot="1">
      <c r="A45" s="364" t="s">
        <v>6</v>
      </c>
      <c r="B45" s="199" t="s">
        <v>525</v>
      </c>
      <c r="C45" s="246">
        <f aca="true" t="shared" si="8" ref="C45:H45">SUM(C46:C50)</f>
        <v>350314804</v>
      </c>
      <c r="D45" s="246">
        <f t="shared" si="8"/>
        <v>398337588</v>
      </c>
      <c r="E45" s="371">
        <f t="shared" si="8"/>
        <v>380486279</v>
      </c>
      <c r="F45" s="371">
        <f t="shared" si="8"/>
        <v>369686385</v>
      </c>
      <c r="G45" s="371">
        <f t="shared" si="8"/>
        <v>10799894</v>
      </c>
      <c r="H45" s="371">
        <f t="shared" si="8"/>
        <v>0</v>
      </c>
    </row>
    <row r="46" spans="1:8" ht="12" customHeight="1">
      <c r="A46" s="375" t="s">
        <v>66</v>
      </c>
      <c r="B46" s="191" t="s">
        <v>36</v>
      </c>
      <c r="C46" s="90">
        <v>183251868</v>
      </c>
      <c r="D46" s="90">
        <v>208323555</v>
      </c>
      <c r="E46" s="358">
        <v>206560841</v>
      </c>
      <c r="F46" s="358">
        <f>E46-G46</f>
        <v>198820646</v>
      </c>
      <c r="G46" s="358">
        <v>7740195</v>
      </c>
      <c r="H46" s="358"/>
    </row>
    <row r="47" spans="1:8" ht="12" customHeight="1">
      <c r="A47" s="375" t="s">
        <v>67</v>
      </c>
      <c r="B47" s="190" t="s">
        <v>127</v>
      </c>
      <c r="C47" s="240">
        <v>33194936</v>
      </c>
      <c r="D47" s="240">
        <v>37224437</v>
      </c>
      <c r="E47" s="380">
        <v>37224437</v>
      </c>
      <c r="F47" s="358">
        <f>E47-G47</f>
        <v>34164738</v>
      </c>
      <c r="G47" s="380">
        <v>3059699</v>
      </c>
      <c r="H47" s="380"/>
    </row>
    <row r="48" spans="1:8" ht="12" customHeight="1">
      <c r="A48" s="375" t="s">
        <v>68</v>
      </c>
      <c r="B48" s="190" t="s">
        <v>95</v>
      </c>
      <c r="C48" s="240">
        <v>133868000</v>
      </c>
      <c r="D48" s="240">
        <v>152789596</v>
      </c>
      <c r="E48" s="380">
        <v>136701001</v>
      </c>
      <c r="F48" s="358">
        <f>E48-G48</f>
        <v>136701001</v>
      </c>
      <c r="G48" s="380"/>
      <c r="H48" s="380"/>
    </row>
    <row r="49" spans="1:8" s="186" customFormat="1" ht="12" customHeight="1">
      <c r="A49" s="375" t="s">
        <v>69</v>
      </c>
      <c r="B49" s="190" t="s">
        <v>128</v>
      </c>
      <c r="C49" s="240"/>
      <c r="D49" s="240"/>
      <c r="E49" s="380"/>
      <c r="F49" s="380"/>
      <c r="G49" s="380"/>
      <c r="H49" s="380"/>
    </row>
    <row r="50" spans="1:8" ht="12" customHeight="1" thickBot="1">
      <c r="A50" s="375" t="s">
        <v>101</v>
      </c>
      <c r="B50" s="190" t="s">
        <v>129</v>
      </c>
      <c r="C50" s="240"/>
      <c r="D50" s="240"/>
      <c r="E50" s="380"/>
      <c r="F50" s="380"/>
      <c r="G50" s="380"/>
      <c r="H50" s="380"/>
    </row>
    <row r="51" spans="1:8" ht="12" customHeight="1" thickBot="1">
      <c r="A51" s="364" t="s">
        <v>7</v>
      </c>
      <c r="B51" s="199" t="s">
        <v>526</v>
      </c>
      <c r="C51" s="246">
        <f aca="true" t="shared" si="9" ref="C51:H51">SUM(C52:C54)</f>
        <v>508000</v>
      </c>
      <c r="D51" s="246">
        <f t="shared" si="9"/>
        <v>5028267</v>
      </c>
      <c r="E51" s="371">
        <f t="shared" si="9"/>
        <v>5028267</v>
      </c>
      <c r="F51" s="371">
        <f t="shared" si="9"/>
        <v>5028267</v>
      </c>
      <c r="G51" s="371">
        <f t="shared" si="9"/>
        <v>0</v>
      </c>
      <c r="H51" s="371">
        <f t="shared" si="9"/>
        <v>0</v>
      </c>
    </row>
    <row r="52" spans="1:8" ht="12" customHeight="1">
      <c r="A52" s="375" t="s">
        <v>72</v>
      </c>
      <c r="B52" s="191" t="s">
        <v>150</v>
      </c>
      <c r="C52" s="90">
        <v>508000</v>
      </c>
      <c r="D52" s="90">
        <v>4977867</v>
      </c>
      <c r="E52" s="358">
        <v>4977867</v>
      </c>
      <c r="F52" s="358">
        <f>E52-G52</f>
        <v>4977867</v>
      </c>
      <c r="G52" s="358"/>
      <c r="H52" s="358"/>
    </row>
    <row r="53" spans="1:8" ht="12" customHeight="1">
      <c r="A53" s="375" t="s">
        <v>73</v>
      </c>
      <c r="B53" s="190" t="s">
        <v>131</v>
      </c>
      <c r="C53" s="240"/>
      <c r="D53" s="240">
        <v>50400</v>
      </c>
      <c r="E53" s="380">
        <v>50400</v>
      </c>
      <c r="F53" s="380">
        <v>50400</v>
      </c>
      <c r="G53" s="380"/>
      <c r="H53" s="380"/>
    </row>
    <row r="54" spans="1:8" ht="15" customHeight="1">
      <c r="A54" s="375" t="s">
        <v>74</v>
      </c>
      <c r="B54" s="190" t="s">
        <v>43</v>
      </c>
      <c r="C54" s="240"/>
      <c r="D54" s="240"/>
      <c r="E54" s="380"/>
      <c r="F54" s="380"/>
      <c r="G54" s="380"/>
      <c r="H54" s="380"/>
    </row>
    <row r="55" spans="1:8" ht="13.5" thickBot="1">
      <c r="A55" s="375" t="s">
        <v>75</v>
      </c>
      <c r="B55" s="190" t="s">
        <v>621</v>
      </c>
      <c r="C55" s="240"/>
      <c r="D55" s="240"/>
      <c r="E55" s="380"/>
      <c r="F55" s="380"/>
      <c r="G55" s="380"/>
      <c r="H55" s="380"/>
    </row>
    <row r="56" spans="1:8" ht="15" customHeight="1" thickBot="1">
      <c r="A56" s="364" t="s">
        <v>8</v>
      </c>
      <c r="B56" s="368" t="s">
        <v>527</v>
      </c>
      <c r="C56" s="95">
        <f aca="true" t="shared" si="10" ref="C56:H56">+C45+C51</f>
        <v>350822804</v>
      </c>
      <c r="D56" s="95">
        <f t="shared" si="10"/>
        <v>403365855</v>
      </c>
      <c r="E56" s="372">
        <f t="shared" si="10"/>
        <v>385514546</v>
      </c>
      <c r="F56" s="372">
        <f t="shared" si="10"/>
        <v>374714652</v>
      </c>
      <c r="G56" s="372">
        <f t="shared" si="10"/>
        <v>10799894</v>
      </c>
      <c r="H56" s="372">
        <f t="shared" si="10"/>
        <v>0</v>
      </c>
    </row>
    <row r="57" spans="3:5" ht="13.5" thickBot="1">
      <c r="C57" s="373"/>
      <c r="D57" s="373"/>
      <c r="E57" s="373"/>
    </row>
    <row r="58" spans="1:8" ht="13.5" thickBot="1">
      <c r="A58" s="319" t="s">
        <v>614</v>
      </c>
      <c r="B58" s="320"/>
      <c r="C58" s="99">
        <v>83</v>
      </c>
      <c r="D58" s="99">
        <v>83</v>
      </c>
      <c r="E58" s="362">
        <v>83</v>
      </c>
      <c r="F58" s="362"/>
      <c r="G58" s="362"/>
      <c r="H58" s="362"/>
    </row>
    <row r="59" spans="1:8" ht="13.5" thickBot="1">
      <c r="A59" s="319" t="s">
        <v>143</v>
      </c>
      <c r="B59" s="320"/>
      <c r="C59" s="99">
        <v>60</v>
      </c>
      <c r="D59" s="99">
        <v>60</v>
      </c>
      <c r="E59" s="362">
        <v>60</v>
      </c>
      <c r="F59" s="362"/>
      <c r="G59" s="362"/>
      <c r="H59" s="362"/>
    </row>
  </sheetData>
  <sheetProtection formatCells="0"/>
  <mergeCells count="5">
    <mergeCell ref="A7:H7"/>
    <mergeCell ref="B2:H2"/>
    <mergeCell ref="B3:H3"/>
    <mergeCell ref="A44:H44"/>
    <mergeCell ref="E1:H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H59"/>
  <sheetViews>
    <sheetView zoomScaleSheetLayoutView="145" workbookViewId="0" topLeftCell="A31">
      <selection activeCell="A20" sqref="A20"/>
    </sheetView>
  </sheetViews>
  <sheetFormatPr defaultColWidth="9.375" defaultRowHeight="12.75"/>
  <cols>
    <col min="1" max="1" width="18.625" style="369" customWidth="1"/>
    <col min="2" max="2" width="62.00390625" style="27" customWidth="1"/>
    <col min="3" max="5" width="15.75390625" style="27" customWidth="1"/>
    <col min="6" max="6" width="12.625" style="27" customWidth="1"/>
    <col min="7" max="7" width="11.625" style="27" customWidth="1"/>
    <col min="8" max="8" width="11.75390625" style="27" customWidth="1"/>
    <col min="9" max="16384" width="9.375" style="27" customWidth="1"/>
  </cols>
  <sheetData>
    <row r="1" spans="1:8" s="311" customFormat="1" ht="21" customHeight="1" thickBot="1">
      <c r="A1" s="728"/>
      <c r="B1" s="728"/>
      <c r="C1" s="728"/>
      <c r="D1" s="728" t="s">
        <v>892</v>
      </c>
      <c r="E1" s="928" t="str">
        <f>ÖSSZEFÜGGÉSEK!A40</f>
        <v> a 7/2020.(VII.1.) önkormányzati rendelethez</v>
      </c>
      <c r="F1" s="928"/>
      <c r="G1" s="928"/>
      <c r="H1" s="928"/>
    </row>
    <row r="2" spans="1:8" s="351" customFormat="1" ht="25.5" customHeight="1">
      <c r="A2" s="334" t="s">
        <v>141</v>
      </c>
      <c r="B2" s="920" t="s">
        <v>824</v>
      </c>
      <c r="C2" s="921"/>
      <c r="D2" s="921"/>
      <c r="E2" s="921"/>
      <c r="F2" s="921"/>
      <c r="G2" s="921"/>
      <c r="H2" s="922"/>
    </row>
    <row r="3" spans="1:8" s="351" customFormat="1" ht="15.75" thickBot="1">
      <c r="A3" s="350" t="s">
        <v>140</v>
      </c>
      <c r="B3" s="934" t="s">
        <v>502</v>
      </c>
      <c r="C3" s="934"/>
      <c r="D3" s="934"/>
      <c r="E3" s="934"/>
      <c r="F3" s="934"/>
      <c r="G3" s="934"/>
      <c r="H3" s="934"/>
    </row>
    <row r="4" spans="1:8" s="352" customFormat="1" ht="15.75" customHeight="1" thickBot="1">
      <c r="A4" s="312"/>
      <c r="B4" s="312"/>
      <c r="C4" s="313"/>
      <c r="D4" s="313"/>
      <c r="E4" s="313"/>
      <c r="F4" s="313"/>
      <c r="G4" s="313"/>
      <c r="H4" s="313" t="s">
        <v>678</v>
      </c>
    </row>
    <row r="5" spans="1:8" ht="23.25" thickBot="1">
      <c r="A5" s="187" t="s">
        <v>142</v>
      </c>
      <c r="B5" s="188" t="s">
        <v>40</v>
      </c>
      <c r="C5" s="87" t="s">
        <v>172</v>
      </c>
      <c r="D5" s="87" t="s">
        <v>176</v>
      </c>
      <c r="E5" s="314" t="s">
        <v>177</v>
      </c>
      <c r="F5" s="314" t="s">
        <v>872</v>
      </c>
      <c r="G5" s="314" t="s">
        <v>873</v>
      </c>
      <c r="H5" s="314" t="s">
        <v>874</v>
      </c>
    </row>
    <row r="6" spans="1:8" s="353" customFormat="1" ht="12.75" customHeight="1" thickBot="1">
      <c r="A6" s="309" t="s">
        <v>372</v>
      </c>
      <c r="B6" s="310" t="s">
        <v>373</v>
      </c>
      <c r="C6" s="310" t="s">
        <v>374</v>
      </c>
      <c r="D6" s="98" t="s">
        <v>375</v>
      </c>
      <c r="E6" s="96" t="s">
        <v>376</v>
      </c>
      <c r="F6" s="96" t="s">
        <v>451</v>
      </c>
      <c r="G6" s="96" t="s">
        <v>452</v>
      </c>
      <c r="H6" s="96" t="s">
        <v>453</v>
      </c>
    </row>
    <row r="7" spans="1:5" s="353" customFormat="1" ht="15.75" customHeight="1" thickBot="1">
      <c r="A7" s="929" t="s">
        <v>41</v>
      </c>
      <c r="B7" s="930"/>
      <c r="C7" s="930"/>
      <c r="D7" s="930"/>
      <c r="E7" s="931"/>
    </row>
    <row r="8" spans="1:8" s="330" customFormat="1" ht="12" customHeight="1" thickBot="1">
      <c r="A8" s="309" t="s">
        <v>6</v>
      </c>
      <c r="B8" s="365" t="s">
        <v>508</v>
      </c>
      <c r="C8" s="246">
        <f aca="true" t="shared" si="0" ref="C8:H8">SUM(C9:C19)</f>
        <v>14410000</v>
      </c>
      <c r="D8" s="386">
        <f t="shared" si="0"/>
        <v>15504000</v>
      </c>
      <c r="E8" s="371">
        <f t="shared" si="0"/>
        <v>16574644</v>
      </c>
      <c r="F8" s="371">
        <f t="shared" si="0"/>
        <v>16574644</v>
      </c>
      <c r="G8" s="371">
        <f t="shared" si="0"/>
        <v>0</v>
      </c>
      <c r="H8" s="371">
        <f t="shared" si="0"/>
        <v>0</v>
      </c>
    </row>
    <row r="9" spans="1:8" s="330" customFormat="1" ht="12" customHeight="1">
      <c r="A9" s="374" t="s">
        <v>66</v>
      </c>
      <c r="B9" s="192" t="s">
        <v>291</v>
      </c>
      <c r="C9" s="93"/>
      <c r="D9" s="387"/>
      <c r="E9" s="717"/>
      <c r="F9" s="784">
        <f>E9-G9</f>
        <v>0</v>
      </c>
      <c r="G9" s="784"/>
      <c r="H9" s="784"/>
    </row>
    <row r="10" spans="1:8" s="330" customFormat="1" ht="12" customHeight="1">
      <c r="A10" s="375" t="s">
        <v>67</v>
      </c>
      <c r="B10" s="190" t="s">
        <v>292</v>
      </c>
      <c r="C10" s="243">
        <v>14000000</v>
      </c>
      <c r="D10" s="388">
        <v>14000000</v>
      </c>
      <c r="E10" s="718">
        <v>14784449</v>
      </c>
      <c r="F10" s="785">
        <f>E10-G10</f>
        <v>14784449</v>
      </c>
      <c r="G10" s="785"/>
      <c r="H10" s="785"/>
    </row>
    <row r="11" spans="1:8" s="330" customFormat="1" ht="12" customHeight="1">
      <c r="A11" s="375" t="s">
        <v>68</v>
      </c>
      <c r="B11" s="190" t="s">
        <v>293</v>
      </c>
      <c r="C11" s="243"/>
      <c r="D11" s="388"/>
      <c r="E11" s="718"/>
      <c r="F11" s="785">
        <f aca="true" t="shared" si="1" ref="F11:F19">E11-G11</f>
        <v>0</v>
      </c>
      <c r="G11" s="785"/>
      <c r="H11" s="785"/>
    </row>
    <row r="12" spans="1:8" s="330" customFormat="1" ht="12" customHeight="1">
      <c r="A12" s="375" t="s">
        <v>69</v>
      </c>
      <c r="B12" s="190" t="s">
        <v>294</v>
      </c>
      <c r="C12" s="243"/>
      <c r="D12" s="388"/>
      <c r="E12" s="718"/>
      <c r="F12" s="785">
        <f t="shared" si="1"/>
        <v>0</v>
      </c>
      <c r="G12" s="785"/>
      <c r="H12" s="785"/>
    </row>
    <row r="13" spans="1:8" s="330" customFormat="1" ht="12" customHeight="1">
      <c r="A13" s="375" t="s">
        <v>101</v>
      </c>
      <c r="B13" s="190" t="s">
        <v>295</v>
      </c>
      <c r="C13" s="243"/>
      <c r="D13" s="388"/>
      <c r="E13" s="718"/>
      <c r="F13" s="785">
        <f t="shared" si="1"/>
        <v>0</v>
      </c>
      <c r="G13" s="785"/>
      <c r="H13" s="785"/>
    </row>
    <row r="14" spans="1:8" s="330" customFormat="1" ht="12" customHeight="1">
      <c r="A14" s="375" t="s">
        <v>70</v>
      </c>
      <c r="B14" s="190" t="s">
        <v>509</v>
      </c>
      <c r="C14" s="243">
        <v>400000</v>
      </c>
      <c r="D14" s="388">
        <v>600000</v>
      </c>
      <c r="E14" s="718">
        <v>982809</v>
      </c>
      <c r="F14" s="785">
        <f t="shared" si="1"/>
        <v>982809</v>
      </c>
      <c r="G14" s="785"/>
      <c r="H14" s="785"/>
    </row>
    <row r="15" spans="1:8" s="354" customFormat="1" ht="12" customHeight="1">
      <c r="A15" s="375" t="s">
        <v>71</v>
      </c>
      <c r="B15" s="189" t="s">
        <v>510</v>
      </c>
      <c r="C15" s="243"/>
      <c r="D15" s="388"/>
      <c r="E15" s="718"/>
      <c r="F15" s="785">
        <f t="shared" si="1"/>
        <v>0</v>
      </c>
      <c r="G15" s="785"/>
      <c r="H15" s="785"/>
    </row>
    <row r="16" spans="1:8" s="354" customFormat="1" ht="12" customHeight="1">
      <c r="A16" s="375" t="s">
        <v>79</v>
      </c>
      <c r="B16" s="190" t="s">
        <v>298</v>
      </c>
      <c r="C16" s="243">
        <v>4000</v>
      </c>
      <c r="D16" s="243">
        <v>4000</v>
      </c>
      <c r="E16" s="244">
        <v>22</v>
      </c>
      <c r="F16" s="785">
        <f t="shared" si="1"/>
        <v>22</v>
      </c>
      <c r="G16" s="785"/>
      <c r="H16" s="785"/>
    </row>
    <row r="17" spans="1:8" s="354" customFormat="1" ht="12" customHeight="1">
      <c r="A17" s="375" t="s">
        <v>80</v>
      </c>
      <c r="B17" s="190" t="s">
        <v>939</v>
      </c>
      <c r="C17" s="243"/>
      <c r="D17" s="243"/>
      <c r="E17" s="244"/>
      <c r="F17" s="785"/>
      <c r="G17" s="785"/>
      <c r="H17" s="785"/>
    </row>
    <row r="18" spans="1:8" s="330" customFormat="1" ht="12" customHeight="1">
      <c r="A18" s="375" t="s">
        <v>81</v>
      </c>
      <c r="B18" s="190" t="s">
        <v>300</v>
      </c>
      <c r="C18" s="243"/>
      <c r="D18" s="388"/>
      <c r="E18" s="718"/>
      <c r="F18" s="785">
        <f t="shared" si="1"/>
        <v>0</v>
      </c>
      <c r="G18" s="785"/>
      <c r="H18" s="785"/>
    </row>
    <row r="19" spans="1:8" s="354" customFormat="1" ht="12" customHeight="1" thickBot="1">
      <c r="A19" s="375" t="s">
        <v>82</v>
      </c>
      <c r="B19" s="189" t="s">
        <v>302</v>
      </c>
      <c r="C19" s="245">
        <v>6000</v>
      </c>
      <c r="D19" s="102">
        <v>900000</v>
      </c>
      <c r="E19" s="719">
        <v>807364</v>
      </c>
      <c r="F19" s="786">
        <f t="shared" si="1"/>
        <v>807364</v>
      </c>
      <c r="G19" s="786"/>
      <c r="H19" s="786"/>
    </row>
    <row r="20" spans="1:8" s="354" customFormat="1" ht="12" customHeight="1" thickBot="1">
      <c r="A20" s="309" t="s">
        <v>7</v>
      </c>
      <c r="B20" s="365" t="s">
        <v>511</v>
      </c>
      <c r="C20" s="246">
        <f aca="true" t="shared" si="2" ref="C20:H20">SUM(C21:C23)</f>
        <v>0</v>
      </c>
      <c r="D20" s="386">
        <f t="shared" si="2"/>
        <v>25000000</v>
      </c>
      <c r="E20" s="371">
        <f t="shared" si="2"/>
        <v>25000000</v>
      </c>
      <c r="F20" s="371">
        <f t="shared" si="2"/>
        <v>25000000</v>
      </c>
      <c r="G20" s="371">
        <f t="shared" si="2"/>
        <v>0</v>
      </c>
      <c r="H20" s="371">
        <f t="shared" si="2"/>
        <v>0</v>
      </c>
    </row>
    <row r="21" spans="1:8" s="354" customFormat="1" ht="12" customHeight="1">
      <c r="A21" s="375" t="s">
        <v>72</v>
      </c>
      <c r="B21" s="191" t="s">
        <v>270</v>
      </c>
      <c r="C21" s="243"/>
      <c r="D21" s="388"/>
      <c r="E21" s="101"/>
      <c r="F21" s="101"/>
      <c r="G21" s="101"/>
      <c r="H21" s="101"/>
    </row>
    <row r="22" spans="1:8" s="354" customFormat="1" ht="12" customHeight="1">
      <c r="A22" s="375" t="s">
        <v>73</v>
      </c>
      <c r="B22" s="190" t="s">
        <v>512</v>
      </c>
      <c r="C22" s="243"/>
      <c r="D22" s="388"/>
      <c r="E22" s="101"/>
      <c r="F22" s="101"/>
      <c r="G22" s="101"/>
      <c r="H22" s="101"/>
    </row>
    <row r="23" spans="1:8" s="354" customFormat="1" ht="12" customHeight="1">
      <c r="A23" s="375" t="s">
        <v>74</v>
      </c>
      <c r="B23" s="190" t="s">
        <v>513</v>
      </c>
      <c r="C23" s="243"/>
      <c r="D23" s="388">
        <v>25000000</v>
      </c>
      <c r="E23" s="101">
        <v>25000000</v>
      </c>
      <c r="F23" s="101">
        <v>25000000</v>
      </c>
      <c r="G23" s="101"/>
      <c r="H23" s="101"/>
    </row>
    <row r="24" spans="1:8" s="330" customFormat="1" ht="12" customHeight="1" thickBot="1">
      <c r="A24" s="375" t="s">
        <v>75</v>
      </c>
      <c r="B24" s="190" t="s">
        <v>619</v>
      </c>
      <c r="C24" s="243"/>
      <c r="D24" s="388"/>
      <c r="E24" s="101"/>
      <c r="F24" s="101"/>
      <c r="G24" s="101"/>
      <c r="H24" s="101"/>
    </row>
    <row r="25" spans="1:8" s="330" customFormat="1" ht="12" customHeight="1" thickBot="1">
      <c r="A25" s="364" t="s">
        <v>8</v>
      </c>
      <c r="B25" s="199" t="s">
        <v>118</v>
      </c>
      <c r="C25" s="36"/>
      <c r="D25" s="389"/>
      <c r="E25" s="370"/>
      <c r="F25" s="370"/>
      <c r="G25" s="370"/>
      <c r="H25" s="370"/>
    </row>
    <row r="26" spans="1:8" s="330" customFormat="1" ht="12" customHeight="1" thickBot="1">
      <c r="A26" s="364" t="s">
        <v>9</v>
      </c>
      <c r="B26" s="199" t="s">
        <v>514</v>
      </c>
      <c r="C26" s="246">
        <f aca="true" t="shared" si="3" ref="C26:H26">+C27+C28</f>
        <v>0</v>
      </c>
      <c r="D26" s="386">
        <f t="shared" si="3"/>
        <v>0</v>
      </c>
      <c r="E26" s="371">
        <f t="shared" si="3"/>
        <v>0</v>
      </c>
      <c r="F26" s="371">
        <f t="shared" si="3"/>
        <v>0</v>
      </c>
      <c r="G26" s="371">
        <f t="shared" si="3"/>
        <v>0</v>
      </c>
      <c r="H26" s="371">
        <f t="shared" si="3"/>
        <v>0</v>
      </c>
    </row>
    <row r="27" spans="1:8" s="330" customFormat="1" ht="12" customHeight="1">
      <c r="A27" s="376" t="s">
        <v>284</v>
      </c>
      <c r="B27" s="377" t="s">
        <v>512</v>
      </c>
      <c r="C27" s="90"/>
      <c r="D27" s="382"/>
      <c r="E27" s="358"/>
      <c r="F27" s="358"/>
      <c r="G27" s="358"/>
      <c r="H27" s="358"/>
    </row>
    <row r="28" spans="1:8" s="330" customFormat="1" ht="12" customHeight="1">
      <c r="A28" s="376" t="s">
        <v>286</v>
      </c>
      <c r="B28" s="378" t="s">
        <v>515</v>
      </c>
      <c r="C28" s="247"/>
      <c r="D28" s="390"/>
      <c r="E28" s="357"/>
      <c r="F28" s="357"/>
      <c r="G28" s="357"/>
      <c r="H28" s="357"/>
    </row>
    <row r="29" spans="1:8" s="330" customFormat="1" ht="12" customHeight="1" thickBot="1">
      <c r="A29" s="375" t="s">
        <v>287</v>
      </c>
      <c r="B29" s="379" t="s">
        <v>620</v>
      </c>
      <c r="C29" s="361"/>
      <c r="D29" s="391"/>
      <c r="E29" s="356"/>
      <c r="F29" s="356"/>
      <c r="G29" s="356"/>
      <c r="H29" s="356"/>
    </row>
    <row r="30" spans="1:8" s="330" customFormat="1" ht="12" customHeight="1" thickBot="1">
      <c r="A30" s="364" t="s">
        <v>10</v>
      </c>
      <c r="B30" s="199" t="s">
        <v>516</v>
      </c>
      <c r="C30" s="246">
        <f aca="true" t="shared" si="4" ref="C30:H30">+C31+C32+C33</f>
        <v>0</v>
      </c>
      <c r="D30" s="386">
        <f t="shared" si="4"/>
        <v>0</v>
      </c>
      <c r="E30" s="371">
        <f t="shared" si="4"/>
        <v>0</v>
      </c>
      <c r="F30" s="371">
        <f t="shared" si="4"/>
        <v>0</v>
      </c>
      <c r="G30" s="371">
        <f t="shared" si="4"/>
        <v>0</v>
      </c>
      <c r="H30" s="371">
        <f t="shared" si="4"/>
        <v>0</v>
      </c>
    </row>
    <row r="31" spans="1:8" s="330" customFormat="1" ht="12" customHeight="1">
      <c r="A31" s="376" t="s">
        <v>59</v>
      </c>
      <c r="B31" s="377" t="s">
        <v>304</v>
      </c>
      <c r="C31" s="90"/>
      <c r="D31" s="382"/>
      <c r="E31" s="358"/>
      <c r="F31" s="358"/>
      <c r="G31" s="358"/>
      <c r="H31" s="358"/>
    </row>
    <row r="32" spans="1:8" s="330" customFormat="1" ht="12" customHeight="1">
      <c r="A32" s="376" t="s">
        <v>60</v>
      </c>
      <c r="B32" s="378" t="s">
        <v>305</v>
      </c>
      <c r="C32" s="247"/>
      <c r="D32" s="390"/>
      <c r="E32" s="357"/>
      <c r="F32" s="357"/>
      <c r="G32" s="357"/>
      <c r="H32" s="357"/>
    </row>
    <row r="33" spans="1:8" s="330" customFormat="1" ht="12" customHeight="1" thickBot="1">
      <c r="A33" s="375" t="s">
        <v>61</v>
      </c>
      <c r="B33" s="363" t="s">
        <v>307</v>
      </c>
      <c r="C33" s="361"/>
      <c r="D33" s="391"/>
      <c r="E33" s="356"/>
      <c r="F33" s="356"/>
      <c r="G33" s="356"/>
      <c r="H33" s="356"/>
    </row>
    <row r="34" spans="1:8" s="330" customFormat="1" ht="12" customHeight="1" thickBot="1">
      <c r="A34" s="364" t="s">
        <v>11</v>
      </c>
      <c r="B34" s="199" t="s">
        <v>431</v>
      </c>
      <c r="C34" s="36"/>
      <c r="D34" s="389"/>
      <c r="E34" s="370">
        <v>310000</v>
      </c>
      <c r="F34" s="370">
        <v>310000</v>
      </c>
      <c r="G34" s="370"/>
      <c r="H34" s="370"/>
    </row>
    <row r="35" spans="1:8" s="330" customFormat="1" ht="12" customHeight="1" thickBot="1">
      <c r="A35" s="364" t="s">
        <v>12</v>
      </c>
      <c r="B35" s="199" t="s">
        <v>517</v>
      </c>
      <c r="C35" s="36"/>
      <c r="D35" s="389"/>
      <c r="E35" s="370"/>
      <c r="F35" s="370"/>
      <c r="G35" s="370"/>
      <c r="H35" s="370"/>
    </row>
    <row r="36" spans="1:8" s="330" customFormat="1" ht="12" customHeight="1" thickBot="1">
      <c r="A36" s="309" t="s">
        <v>13</v>
      </c>
      <c r="B36" s="199" t="s">
        <v>518</v>
      </c>
      <c r="C36" s="246">
        <f aca="true" t="shared" si="5" ref="C36:H36">+C8+C20+C25+C26+C30+C34+C35</f>
        <v>14410000</v>
      </c>
      <c r="D36" s="386">
        <f t="shared" si="5"/>
        <v>40504000</v>
      </c>
      <c r="E36" s="371">
        <f t="shared" si="5"/>
        <v>41884644</v>
      </c>
      <c r="F36" s="371">
        <f t="shared" si="5"/>
        <v>41884644</v>
      </c>
      <c r="G36" s="371">
        <f t="shared" si="5"/>
        <v>0</v>
      </c>
      <c r="H36" s="371">
        <f t="shared" si="5"/>
        <v>0</v>
      </c>
    </row>
    <row r="37" spans="1:8" s="354" customFormat="1" ht="12" customHeight="1" thickBot="1">
      <c r="A37" s="366" t="s">
        <v>14</v>
      </c>
      <c r="B37" s="199" t="s">
        <v>519</v>
      </c>
      <c r="C37" s="246">
        <f aca="true" t="shared" si="6" ref="C37:H37">+C38+C39+C40</f>
        <v>59883713</v>
      </c>
      <c r="D37" s="386">
        <f t="shared" si="6"/>
        <v>64813710</v>
      </c>
      <c r="E37" s="371">
        <f t="shared" si="6"/>
        <v>56177957</v>
      </c>
      <c r="F37" s="371">
        <f t="shared" si="6"/>
        <v>54663650</v>
      </c>
      <c r="G37" s="371">
        <f t="shared" si="6"/>
        <v>1514307</v>
      </c>
      <c r="H37" s="371">
        <f t="shared" si="6"/>
        <v>0</v>
      </c>
    </row>
    <row r="38" spans="1:8" s="354" customFormat="1" ht="15" customHeight="1">
      <c r="A38" s="376" t="s">
        <v>520</v>
      </c>
      <c r="B38" s="377" t="s">
        <v>159</v>
      </c>
      <c r="C38" s="90"/>
      <c r="D38" s="382">
        <v>1736895</v>
      </c>
      <c r="E38" s="358">
        <v>1736895</v>
      </c>
      <c r="F38" s="358">
        <v>1736895</v>
      </c>
      <c r="G38" s="358"/>
      <c r="H38" s="358"/>
    </row>
    <row r="39" spans="1:8" s="354" customFormat="1" ht="15" customHeight="1">
      <c r="A39" s="376" t="s">
        <v>521</v>
      </c>
      <c r="B39" s="378" t="s">
        <v>2</v>
      </c>
      <c r="C39" s="247"/>
      <c r="D39" s="390"/>
      <c r="E39" s="357"/>
      <c r="F39" s="357"/>
      <c r="G39" s="357"/>
      <c r="H39" s="357"/>
    </row>
    <row r="40" spans="1:8" ht="13.5" thickBot="1">
      <c r="A40" s="375" t="s">
        <v>522</v>
      </c>
      <c r="B40" s="363" t="s">
        <v>523</v>
      </c>
      <c r="C40" s="361">
        <v>59883713</v>
      </c>
      <c r="D40" s="391">
        <v>63076815</v>
      </c>
      <c r="E40" s="356">
        <v>54441062</v>
      </c>
      <c r="F40" s="356">
        <f>E40-G40</f>
        <v>52926755</v>
      </c>
      <c r="G40" s="356">
        <v>1514307</v>
      </c>
      <c r="H40" s="356"/>
    </row>
    <row r="41" spans="1:8" s="353" customFormat="1" ht="16.5" customHeight="1" thickBot="1">
      <c r="A41" s="366" t="s">
        <v>15</v>
      </c>
      <c r="B41" s="367" t="s">
        <v>524</v>
      </c>
      <c r="C41" s="95">
        <f aca="true" t="shared" si="7" ref="C41:H41">+C36+C37</f>
        <v>74293713</v>
      </c>
      <c r="D41" s="392">
        <f t="shared" si="7"/>
        <v>105317710</v>
      </c>
      <c r="E41" s="372">
        <f t="shared" si="7"/>
        <v>98062601</v>
      </c>
      <c r="F41" s="372">
        <f t="shared" si="7"/>
        <v>96548294</v>
      </c>
      <c r="G41" s="372">
        <f t="shared" si="7"/>
        <v>1514307</v>
      </c>
      <c r="H41" s="372">
        <f t="shared" si="7"/>
        <v>0</v>
      </c>
    </row>
    <row r="42" spans="1:5" s="186" customFormat="1" ht="12" customHeight="1">
      <c r="A42" s="315"/>
      <c r="B42" s="316"/>
      <c r="C42" s="328"/>
      <c r="D42" s="328"/>
      <c r="E42" s="328"/>
    </row>
    <row r="43" spans="1:5" ht="12" customHeight="1" thickBot="1">
      <c r="A43" s="317"/>
      <c r="B43" s="318"/>
      <c r="C43" s="329"/>
      <c r="D43" s="329"/>
      <c r="E43" s="329"/>
    </row>
    <row r="44" spans="1:8" ht="12" customHeight="1" thickBot="1">
      <c r="A44" s="929" t="s">
        <v>42</v>
      </c>
      <c r="B44" s="930"/>
      <c r="C44" s="930"/>
      <c r="D44" s="930"/>
      <c r="E44" s="930"/>
      <c r="F44" s="930"/>
      <c r="G44" s="930"/>
      <c r="H44" s="931"/>
    </row>
    <row r="45" spans="1:8" ht="12" customHeight="1" thickBot="1">
      <c r="A45" s="666" t="s">
        <v>6</v>
      </c>
      <c r="B45" s="667" t="s">
        <v>525</v>
      </c>
      <c r="C45" s="668">
        <f aca="true" t="shared" si="8" ref="C45:H45">SUM(C46:C50)</f>
        <v>73493713</v>
      </c>
      <c r="D45" s="668">
        <f t="shared" si="8"/>
        <v>99139482</v>
      </c>
      <c r="E45" s="669">
        <f t="shared" si="8"/>
        <v>73376695</v>
      </c>
      <c r="F45" s="669">
        <f t="shared" si="8"/>
        <v>71862388</v>
      </c>
      <c r="G45" s="669">
        <f t="shared" si="8"/>
        <v>1514307</v>
      </c>
      <c r="H45" s="669">
        <f t="shared" si="8"/>
        <v>0</v>
      </c>
    </row>
    <row r="46" spans="1:8" ht="12" customHeight="1">
      <c r="A46" s="375" t="s">
        <v>66</v>
      </c>
      <c r="B46" s="191" t="s">
        <v>36</v>
      </c>
      <c r="C46" s="90">
        <v>37653316</v>
      </c>
      <c r="D46" s="90">
        <v>49815594</v>
      </c>
      <c r="E46" s="358">
        <v>42093974</v>
      </c>
      <c r="F46" s="358">
        <f>E46-G46</f>
        <v>41171474</v>
      </c>
      <c r="G46" s="358">
        <v>922500</v>
      </c>
      <c r="H46" s="358"/>
    </row>
    <row r="47" spans="1:8" ht="12" customHeight="1">
      <c r="A47" s="375" t="s">
        <v>67</v>
      </c>
      <c r="B47" s="190" t="s">
        <v>127</v>
      </c>
      <c r="C47" s="240">
        <v>7507397</v>
      </c>
      <c r="D47" s="240">
        <v>9675619</v>
      </c>
      <c r="E47" s="380">
        <v>8001551</v>
      </c>
      <c r="F47" s="358">
        <f>E47-G47</f>
        <v>7409744</v>
      </c>
      <c r="G47" s="358">
        <v>591807</v>
      </c>
      <c r="H47" s="380"/>
    </row>
    <row r="48" spans="1:8" ht="12" customHeight="1">
      <c r="A48" s="375" t="s">
        <v>68</v>
      </c>
      <c r="B48" s="190" t="s">
        <v>95</v>
      </c>
      <c r="C48" s="240">
        <v>28333000</v>
      </c>
      <c r="D48" s="240">
        <v>39648269</v>
      </c>
      <c r="E48" s="380">
        <v>23281170</v>
      </c>
      <c r="F48" s="358">
        <f>E48-G48</f>
        <v>23281170</v>
      </c>
      <c r="G48" s="358"/>
      <c r="H48" s="380"/>
    </row>
    <row r="49" spans="1:8" s="186" customFormat="1" ht="12" customHeight="1">
      <c r="A49" s="375" t="s">
        <v>69</v>
      </c>
      <c r="B49" s="190" t="s">
        <v>128</v>
      </c>
      <c r="C49" s="240"/>
      <c r="D49" s="240"/>
      <c r="E49" s="380"/>
      <c r="F49" s="358">
        <f>E49-G49</f>
        <v>0</v>
      </c>
      <c r="G49" s="358"/>
      <c r="H49" s="380"/>
    </row>
    <row r="50" spans="1:8" ht="12" customHeight="1" thickBot="1">
      <c r="A50" s="375" t="s">
        <v>101</v>
      </c>
      <c r="B50" s="190" t="s">
        <v>129</v>
      </c>
      <c r="C50" s="240"/>
      <c r="D50" s="240"/>
      <c r="E50" s="380"/>
      <c r="F50" s="358">
        <f>E50-G50</f>
        <v>0</v>
      </c>
      <c r="G50" s="358"/>
      <c r="H50" s="380"/>
    </row>
    <row r="51" spans="1:8" ht="12" customHeight="1" thickBot="1">
      <c r="A51" s="364" t="s">
        <v>7</v>
      </c>
      <c r="B51" s="199" t="s">
        <v>526</v>
      </c>
      <c r="C51" s="246">
        <f aca="true" t="shared" si="9" ref="C51:H51">SUM(C52:C54)</f>
        <v>800000</v>
      </c>
      <c r="D51" s="246">
        <f t="shared" si="9"/>
        <v>6178228</v>
      </c>
      <c r="E51" s="371">
        <f t="shared" si="9"/>
        <v>4904832</v>
      </c>
      <c r="F51" s="371">
        <f t="shared" si="9"/>
        <v>4904832</v>
      </c>
      <c r="G51" s="371">
        <f t="shared" si="9"/>
        <v>0</v>
      </c>
      <c r="H51" s="371">
        <f t="shared" si="9"/>
        <v>0</v>
      </c>
    </row>
    <row r="52" spans="1:8" ht="12" customHeight="1">
      <c r="A52" s="375" t="s">
        <v>72</v>
      </c>
      <c r="B52" s="191" t="s">
        <v>150</v>
      </c>
      <c r="C52" s="90">
        <v>400000</v>
      </c>
      <c r="D52" s="90">
        <v>5778228</v>
      </c>
      <c r="E52" s="358">
        <v>4904832</v>
      </c>
      <c r="F52" s="358">
        <v>4904832</v>
      </c>
      <c r="G52" s="358"/>
      <c r="H52" s="358"/>
    </row>
    <row r="53" spans="1:8" ht="12" customHeight="1">
      <c r="A53" s="375" t="s">
        <v>73</v>
      </c>
      <c r="B53" s="190" t="s">
        <v>131</v>
      </c>
      <c r="C53" s="240">
        <v>400000</v>
      </c>
      <c r="D53" s="240">
        <v>400000</v>
      </c>
      <c r="E53" s="380">
        <v>0</v>
      </c>
      <c r="F53" s="380"/>
      <c r="G53" s="380"/>
      <c r="H53" s="380"/>
    </row>
    <row r="54" spans="1:8" ht="15" customHeight="1">
      <c r="A54" s="375" t="s">
        <v>74</v>
      </c>
      <c r="B54" s="190" t="s">
        <v>43</v>
      </c>
      <c r="C54" s="240"/>
      <c r="D54" s="240"/>
      <c r="E54" s="380"/>
      <c r="F54" s="380"/>
      <c r="G54" s="380"/>
      <c r="H54" s="380"/>
    </row>
    <row r="55" spans="1:8" ht="13.5" thickBot="1">
      <c r="A55" s="375" t="s">
        <v>75</v>
      </c>
      <c r="B55" s="190" t="s">
        <v>621</v>
      </c>
      <c r="C55" s="240"/>
      <c r="D55" s="240"/>
      <c r="E55" s="380"/>
      <c r="F55" s="380"/>
      <c r="G55" s="380"/>
      <c r="H55" s="380"/>
    </row>
    <row r="56" spans="1:8" ht="15" customHeight="1" thickBot="1">
      <c r="A56" s="364" t="s">
        <v>8</v>
      </c>
      <c r="B56" s="368" t="s">
        <v>527</v>
      </c>
      <c r="C56" s="95">
        <f aca="true" t="shared" si="10" ref="C56:H56">+C45+C51</f>
        <v>74293713</v>
      </c>
      <c r="D56" s="95">
        <f t="shared" si="10"/>
        <v>105317710</v>
      </c>
      <c r="E56" s="372">
        <f t="shared" si="10"/>
        <v>78281527</v>
      </c>
      <c r="F56" s="372">
        <f t="shared" si="10"/>
        <v>76767220</v>
      </c>
      <c r="G56" s="372">
        <f t="shared" si="10"/>
        <v>1514307</v>
      </c>
      <c r="H56" s="372">
        <f t="shared" si="10"/>
        <v>0</v>
      </c>
    </row>
    <row r="57" spans="3:5" ht="13.5" thickBot="1">
      <c r="C57" s="373"/>
      <c r="D57" s="373"/>
      <c r="E57" s="373"/>
    </row>
    <row r="58" spans="1:8" ht="13.5" thickBot="1">
      <c r="A58" s="319" t="s">
        <v>614</v>
      </c>
      <c r="B58" s="320"/>
      <c r="C58" s="99">
        <v>12</v>
      </c>
      <c r="D58" s="99">
        <v>12</v>
      </c>
      <c r="E58" s="362">
        <v>12</v>
      </c>
      <c r="F58" s="362"/>
      <c r="G58" s="362"/>
      <c r="H58" s="362"/>
    </row>
    <row r="59" spans="1:8" ht="13.5" thickBot="1">
      <c r="A59" s="319" t="s">
        <v>143</v>
      </c>
      <c r="B59" s="320"/>
      <c r="C59" s="99">
        <v>0</v>
      </c>
      <c r="D59" s="99">
        <v>0</v>
      </c>
      <c r="E59" s="362">
        <v>0</v>
      </c>
      <c r="F59" s="362"/>
      <c r="G59" s="362"/>
      <c r="H59" s="362"/>
    </row>
  </sheetData>
  <sheetProtection formatCells="0"/>
  <mergeCells count="5">
    <mergeCell ref="A7:E7"/>
    <mergeCell ref="B2:H2"/>
    <mergeCell ref="B3:H3"/>
    <mergeCell ref="A44:H44"/>
    <mergeCell ref="E1:H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H59"/>
  <sheetViews>
    <sheetView zoomScaleSheetLayoutView="145" workbookViewId="0" topLeftCell="A37">
      <selection activeCell="H9" sqref="H9:H19"/>
    </sheetView>
  </sheetViews>
  <sheetFormatPr defaultColWidth="9.375" defaultRowHeight="12.75"/>
  <cols>
    <col min="1" max="1" width="18.625" style="369" customWidth="1"/>
    <col min="2" max="2" width="62.00390625" style="27" customWidth="1"/>
    <col min="3" max="5" width="15.75390625" style="27" customWidth="1"/>
    <col min="6" max="6" width="13.00390625" style="27" customWidth="1"/>
    <col min="7" max="7" width="12.50390625" style="27" customWidth="1"/>
    <col min="8" max="8" width="11.50390625" style="27" customWidth="1"/>
    <col min="9" max="16384" width="9.375" style="27" customWidth="1"/>
  </cols>
  <sheetData>
    <row r="1" spans="1:8" s="311" customFormat="1" ht="21" customHeight="1" thickBot="1">
      <c r="A1" s="728"/>
      <c r="B1" s="728"/>
      <c r="C1" s="728"/>
      <c r="D1" s="728" t="s">
        <v>893</v>
      </c>
      <c r="E1" s="928" t="str">
        <f>ÖSSZEFÜGGÉSEK!A40</f>
        <v> a 7/2020.(VII.1.) önkormányzati rendelethez</v>
      </c>
      <c r="F1" s="928"/>
      <c r="G1" s="928"/>
      <c r="H1" s="928"/>
    </row>
    <row r="2" spans="1:8" s="351" customFormat="1" ht="25.5" customHeight="1" thickBot="1">
      <c r="A2" s="334" t="s">
        <v>141</v>
      </c>
      <c r="B2" s="910" t="s">
        <v>825</v>
      </c>
      <c r="C2" s="935"/>
      <c r="D2" s="935"/>
      <c r="E2" s="935"/>
      <c r="F2" s="935"/>
      <c r="G2" s="935"/>
      <c r="H2" s="936"/>
    </row>
    <row r="3" spans="1:8" s="351" customFormat="1" ht="15.75" thickBot="1">
      <c r="A3" s="350" t="s">
        <v>140</v>
      </c>
      <c r="B3" s="913" t="s">
        <v>502</v>
      </c>
      <c r="C3" s="914"/>
      <c r="D3" s="914"/>
      <c r="E3" s="914"/>
      <c r="F3" s="914"/>
      <c r="G3" s="914"/>
      <c r="H3" s="915"/>
    </row>
    <row r="4" spans="1:8" s="352" customFormat="1" ht="15.75" customHeight="1" thickBot="1">
      <c r="A4" s="312"/>
      <c r="B4" s="312"/>
      <c r="C4" s="313"/>
      <c r="D4" s="313"/>
      <c r="E4" s="313"/>
      <c r="F4" s="313"/>
      <c r="G4" s="313"/>
      <c r="H4" s="313" t="s">
        <v>674</v>
      </c>
    </row>
    <row r="5" spans="1:8" ht="23.25" thickBot="1">
      <c r="A5" s="187" t="s">
        <v>142</v>
      </c>
      <c r="B5" s="188" t="s">
        <v>40</v>
      </c>
      <c r="C5" s="87" t="s">
        <v>172</v>
      </c>
      <c r="D5" s="87" t="s">
        <v>176</v>
      </c>
      <c r="E5" s="314" t="s">
        <v>177</v>
      </c>
      <c r="F5" s="314" t="s">
        <v>872</v>
      </c>
      <c r="G5" s="314" t="s">
        <v>873</v>
      </c>
      <c r="H5" s="314" t="s">
        <v>874</v>
      </c>
    </row>
    <row r="6" spans="1:8" s="353" customFormat="1" ht="12.75" customHeight="1" thickBot="1">
      <c r="A6" s="309" t="s">
        <v>372</v>
      </c>
      <c r="B6" s="310" t="s">
        <v>373</v>
      </c>
      <c r="C6" s="310" t="s">
        <v>374</v>
      </c>
      <c r="D6" s="98" t="s">
        <v>375</v>
      </c>
      <c r="E6" s="96" t="s">
        <v>376</v>
      </c>
      <c r="F6" s="96" t="s">
        <v>451</v>
      </c>
      <c r="G6" s="96" t="s">
        <v>452</v>
      </c>
      <c r="H6" s="96" t="s">
        <v>453</v>
      </c>
    </row>
    <row r="7" spans="1:8" s="353" customFormat="1" ht="15.75" customHeight="1" thickBot="1">
      <c r="A7" s="932" t="s">
        <v>41</v>
      </c>
      <c r="B7" s="933"/>
      <c r="C7" s="933"/>
      <c r="D7" s="933"/>
      <c r="E7" s="933"/>
      <c r="F7" s="933"/>
      <c r="G7" s="933"/>
      <c r="H7" s="933"/>
    </row>
    <row r="8" spans="1:8" s="330" customFormat="1" ht="12" customHeight="1" thickBot="1">
      <c r="A8" s="309" t="s">
        <v>6</v>
      </c>
      <c r="B8" s="365" t="s">
        <v>508</v>
      </c>
      <c r="C8" s="246">
        <f aca="true" t="shared" si="0" ref="C8:H8">SUM(C9:C19)</f>
        <v>12000</v>
      </c>
      <c r="D8" s="386">
        <f t="shared" si="0"/>
        <v>63010</v>
      </c>
      <c r="E8" s="371">
        <f t="shared" si="0"/>
        <v>29952</v>
      </c>
      <c r="F8" s="371">
        <f t="shared" si="0"/>
        <v>0</v>
      </c>
      <c r="G8" s="371">
        <f t="shared" si="0"/>
        <v>0</v>
      </c>
      <c r="H8" s="371">
        <f t="shared" si="0"/>
        <v>0</v>
      </c>
    </row>
    <row r="9" spans="1:8" s="330" customFormat="1" ht="12" customHeight="1">
      <c r="A9" s="374" t="s">
        <v>66</v>
      </c>
      <c r="B9" s="192" t="s">
        <v>291</v>
      </c>
      <c r="C9" s="93"/>
      <c r="D9" s="387"/>
      <c r="E9" s="717"/>
      <c r="F9" s="784"/>
      <c r="G9" s="784"/>
      <c r="H9" s="784"/>
    </row>
    <row r="10" spans="1:8" s="330" customFormat="1" ht="12" customHeight="1">
      <c r="A10" s="375" t="s">
        <v>67</v>
      </c>
      <c r="B10" s="190" t="s">
        <v>292</v>
      </c>
      <c r="C10" s="243"/>
      <c r="D10" s="388">
        <v>46000</v>
      </c>
      <c r="E10" s="718">
        <v>22660</v>
      </c>
      <c r="F10" s="785"/>
      <c r="G10" s="785"/>
      <c r="H10" s="785"/>
    </row>
    <row r="11" spans="1:8" s="330" customFormat="1" ht="12" customHeight="1">
      <c r="A11" s="375" t="s">
        <v>68</v>
      </c>
      <c r="B11" s="190" t="s">
        <v>293</v>
      </c>
      <c r="C11" s="243"/>
      <c r="D11" s="388"/>
      <c r="E11" s="718"/>
      <c r="F11" s="785"/>
      <c r="G11" s="785"/>
      <c r="H11" s="785"/>
    </row>
    <row r="12" spans="1:8" s="330" customFormat="1" ht="12" customHeight="1">
      <c r="A12" s="375" t="s">
        <v>69</v>
      </c>
      <c r="B12" s="190" t="s">
        <v>294</v>
      </c>
      <c r="C12" s="243"/>
      <c r="D12" s="388"/>
      <c r="E12" s="718"/>
      <c r="F12" s="785"/>
      <c r="G12" s="785"/>
      <c r="H12" s="785"/>
    </row>
    <row r="13" spans="1:8" s="330" customFormat="1" ht="12" customHeight="1">
      <c r="A13" s="375" t="s">
        <v>101</v>
      </c>
      <c r="B13" s="190" t="s">
        <v>295</v>
      </c>
      <c r="C13" s="243"/>
      <c r="D13" s="388"/>
      <c r="E13" s="718"/>
      <c r="F13" s="785"/>
      <c r="G13" s="785"/>
      <c r="H13" s="785"/>
    </row>
    <row r="14" spans="1:8" s="330" customFormat="1" ht="12" customHeight="1">
      <c r="A14" s="375" t="s">
        <v>70</v>
      </c>
      <c r="B14" s="190" t="s">
        <v>509</v>
      </c>
      <c r="C14" s="243"/>
      <c r="D14" s="388">
        <v>5000</v>
      </c>
      <c r="E14" s="718">
        <v>3740</v>
      </c>
      <c r="F14" s="785"/>
      <c r="G14" s="785"/>
      <c r="H14" s="785"/>
    </row>
    <row r="15" spans="1:8" s="354" customFormat="1" ht="12" customHeight="1">
      <c r="A15" s="375" t="s">
        <v>71</v>
      </c>
      <c r="B15" s="189" t="s">
        <v>510</v>
      </c>
      <c r="C15" s="243"/>
      <c r="D15" s="388"/>
      <c r="E15" s="718"/>
      <c r="F15" s="785"/>
      <c r="G15" s="785"/>
      <c r="H15" s="785"/>
    </row>
    <row r="16" spans="1:8" s="354" customFormat="1" ht="12" customHeight="1">
      <c r="A16" s="375" t="s">
        <v>79</v>
      </c>
      <c r="B16" s="190" t="s">
        <v>298</v>
      </c>
      <c r="C16" s="243"/>
      <c r="D16" s="243">
        <v>10</v>
      </c>
      <c r="E16" s="244">
        <v>1</v>
      </c>
      <c r="F16" s="785"/>
      <c r="G16" s="785"/>
      <c r="H16" s="785"/>
    </row>
    <row r="17" spans="1:8" s="354" customFormat="1" ht="12" customHeight="1">
      <c r="A17" s="375" t="s">
        <v>80</v>
      </c>
      <c r="B17" s="190" t="s">
        <v>939</v>
      </c>
      <c r="C17" s="243"/>
      <c r="D17" s="243"/>
      <c r="E17" s="244"/>
      <c r="F17" s="785"/>
      <c r="G17" s="785"/>
      <c r="H17" s="785"/>
    </row>
    <row r="18" spans="1:8" s="330" customFormat="1" ht="12" customHeight="1">
      <c r="A18" s="375" t="s">
        <v>81</v>
      </c>
      <c r="B18" s="190" t="s">
        <v>300</v>
      </c>
      <c r="C18" s="243"/>
      <c r="D18" s="243"/>
      <c r="E18" s="244"/>
      <c r="F18" s="785"/>
      <c r="G18" s="785"/>
      <c r="H18" s="785"/>
    </row>
    <row r="19" spans="1:8" s="354" customFormat="1" ht="12" customHeight="1" thickBot="1">
      <c r="A19" s="375" t="s">
        <v>82</v>
      </c>
      <c r="B19" s="189" t="s">
        <v>302</v>
      </c>
      <c r="C19" s="245">
        <v>12000</v>
      </c>
      <c r="D19" s="102">
        <v>12000</v>
      </c>
      <c r="E19" s="719">
        <v>3551</v>
      </c>
      <c r="F19" s="786"/>
      <c r="G19" s="786"/>
      <c r="H19" s="786"/>
    </row>
    <row r="20" spans="1:8" s="354" customFormat="1" ht="12" customHeight="1" thickBot="1">
      <c r="A20" s="309" t="s">
        <v>7</v>
      </c>
      <c r="B20" s="365" t="s">
        <v>511</v>
      </c>
      <c r="C20" s="246">
        <f aca="true" t="shared" si="1" ref="C20:H20">SUM(C21:C23)</f>
        <v>0</v>
      </c>
      <c r="D20" s="386">
        <f t="shared" si="1"/>
        <v>0</v>
      </c>
      <c r="E20" s="371">
        <f t="shared" si="1"/>
        <v>0</v>
      </c>
      <c r="F20" s="371">
        <f t="shared" si="1"/>
        <v>0</v>
      </c>
      <c r="G20" s="371">
        <f t="shared" si="1"/>
        <v>0</v>
      </c>
      <c r="H20" s="371">
        <f t="shared" si="1"/>
        <v>0</v>
      </c>
    </row>
    <row r="21" spans="1:8" s="354" customFormat="1" ht="12" customHeight="1">
      <c r="A21" s="375" t="s">
        <v>72</v>
      </c>
      <c r="B21" s="191" t="s">
        <v>270</v>
      </c>
      <c r="C21" s="243"/>
      <c r="D21" s="388"/>
      <c r="E21" s="101"/>
      <c r="F21" s="101"/>
      <c r="G21" s="101"/>
      <c r="H21" s="101"/>
    </row>
    <row r="22" spans="1:8" s="354" customFormat="1" ht="12" customHeight="1">
      <c r="A22" s="375" t="s">
        <v>73</v>
      </c>
      <c r="B22" s="190" t="s">
        <v>512</v>
      </c>
      <c r="C22" s="243"/>
      <c r="D22" s="388"/>
      <c r="E22" s="101"/>
      <c r="F22" s="101"/>
      <c r="G22" s="101"/>
      <c r="H22" s="101"/>
    </row>
    <row r="23" spans="1:8" s="354" customFormat="1" ht="12" customHeight="1">
      <c r="A23" s="375" t="s">
        <v>74</v>
      </c>
      <c r="B23" s="190" t="s">
        <v>513</v>
      </c>
      <c r="C23" s="243"/>
      <c r="D23" s="388"/>
      <c r="E23" s="101"/>
      <c r="F23" s="101"/>
      <c r="G23" s="101"/>
      <c r="H23" s="101"/>
    </row>
    <row r="24" spans="1:8" s="330" customFormat="1" ht="12" customHeight="1" thickBot="1">
      <c r="A24" s="375" t="s">
        <v>75</v>
      </c>
      <c r="B24" s="190" t="s">
        <v>619</v>
      </c>
      <c r="C24" s="243"/>
      <c r="D24" s="388"/>
      <c r="E24" s="101"/>
      <c r="F24" s="101"/>
      <c r="G24" s="101"/>
      <c r="H24" s="101"/>
    </row>
    <row r="25" spans="1:8" s="330" customFormat="1" ht="12" customHeight="1" thickBot="1">
      <c r="A25" s="364" t="s">
        <v>8</v>
      </c>
      <c r="B25" s="199" t="s">
        <v>118</v>
      </c>
      <c r="C25" s="36"/>
      <c r="D25" s="389"/>
      <c r="E25" s="370"/>
      <c r="F25" s="370"/>
      <c r="G25" s="370"/>
      <c r="H25" s="370"/>
    </row>
    <row r="26" spans="1:8" s="330" customFormat="1" ht="12" customHeight="1" thickBot="1">
      <c r="A26" s="364" t="s">
        <v>9</v>
      </c>
      <c r="B26" s="199" t="s">
        <v>514</v>
      </c>
      <c r="C26" s="246">
        <f aca="true" t="shared" si="2" ref="C26:H26">+C27+C28</f>
        <v>0</v>
      </c>
      <c r="D26" s="386">
        <f t="shared" si="2"/>
        <v>0</v>
      </c>
      <c r="E26" s="371">
        <f t="shared" si="2"/>
        <v>0</v>
      </c>
      <c r="F26" s="371">
        <f t="shared" si="2"/>
        <v>0</v>
      </c>
      <c r="G26" s="371">
        <f t="shared" si="2"/>
        <v>0</v>
      </c>
      <c r="H26" s="371">
        <f t="shared" si="2"/>
        <v>0</v>
      </c>
    </row>
    <row r="27" spans="1:8" s="330" customFormat="1" ht="12" customHeight="1">
      <c r="A27" s="376" t="s">
        <v>284</v>
      </c>
      <c r="B27" s="377" t="s">
        <v>512</v>
      </c>
      <c r="C27" s="90"/>
      <c r="D27" s="382"/>
      <c r="E27" s="358"/>
      <c r="F27" s="358"/>
      <c r="G27" s="358"/>
      <c r="H27" s="358"/>
    </row>
    <row r="28" spans="1:8" s="330" customFormat="1" ht="12" customHeight="1">
      <c r="A28" s="376" t="s">
        <v>286</v>
      </c>
      <c r="B28" s="378" t="s">
        <v>515</v>
      </c>
      <c r="C28" s="247"/>
      <c r="D28" s="390"/>
      <c r="E28" s="357"/>
      <c r="F28" s="357"/>
      <c r="G28" s="357"/>
      <c r="H28" s="357"/>
    </row>
    <row r="29" spans="1:8" s="330" customFormat="1" ht="12" customHeight="1" thickBot="1">
      <c r="A29" s="375" t="s">
        <v>287</v>
      </c>
      <c r="B29" s="379" t="s">
        <v>620</v>
      </c>
      <c r="C29" s="361"/>
      <c r="D29" s="391"/>
      <c r="E29" s="356"/>
      <c r="F29" s="356"/>
      <c r="G29" s="356"/>
      <c r="H29" s="356"/>
    </row>
    <row r="30" spans="1:8" s="330" customFormat="1" ht="12" customHeight="1" thickBot="1">
      <c r="A30" s="364" t="s">
        <v>10</v>
      </c>
      <c r="B30" s="199" t="s">
        <v>516</v>
      </c>
      <c r="C30" s="246">
        <f aca="true" t="shared" si="3" ref="C30:H30">+C31+C32+C33</f>
        <v>0</v>
      </c>
      <c r="D30" s="386">
        <f t="shared" si="3"/>
        <v>0</v>
      </c>
      <c r="E30" s="371">
        <f t="shared" si="3"/>
        <v>0</v>
      </c>
      <c r="F30" s="371">
        <f t="shared" si="3"/>
        <v>0</v>
      </c>
      <c r="G30" s="371">
        <f t="shared" si="3"/>
        <v>0</v>
      </c>
      <c r="H30" s="371">
        <f t="shared" si="3"/>
        <v>0</v>
      </c>
    </row>
    <row r="31" spans="1:8" s="330" customFormat="1" ht="12" customHeight="1">
      <c r="A31" s="376" t="s">
        <v>59</v>
      </c>
      <c r="B31" s="377" t="s">
        <v>304</v>
      </c>
      <c r="C31" s="90"/>
      <c r="D31" s="382"/>
      <c r="E31" s="358"/>
      <c r="F31" s="358"/>
      <c r="G31" s="358"/>
      <c r="H31" s="358"/>
    </row>
    <row r="32" spans="1:8" s="330" customFormat="1" ht="12" customHeight="1">
      <c r="A32" s="376" t="s">
        <v>60</v>
      </c>
      <c r="B32" s="378" t="s">
        <v>305</v>
      </c>
      <c r="C32" s="247"/>
      <c r="D32" s="390"/>
      <c r="E32" s="357"/>
      <c r="F32" s="357"/>
      <c r="G32" s="357"/>
      <c r="H32" s="357"/>
    </row>
    <row r="33" spans="1:8" s="330" customFormat="1" ht="12" customHeight="1" thickBot="1">
      <c r="A33" s="375" t="s">
        <v>61</v>
      </c>
      <c r="B33" s="363" t="s">
        <v>307</v>
      </c>
      <c r="C33" s="361"/>
      <c r="D33" s="391"/>
      <c r="E33" s="356"/>
      <c r="F33" s="356"/>
      <c r="G33" s="356"/>
      <c r="H33" s="356"/>
    </row>
    <row r="34" spans="1:8" s="330" customFormat="1" ht="12" customHeight="1" thickBot="1">
      <c r="A34" s="364" t="s">
        <v>11</v>
      </c>
      <c r="B34" s="199" t="s">
        <v>431</v>
      </c>
      <c r="C34" s="36"/>
      <c r="D34" s="389"/>
      <c r="E34" s="370"/>
      <c r="F34" s="370"/>
      <c r="G34" s="370"/>
      <c r="H34" s="370"/>
    </row>
    <row r="35" spans="1:8" s="330" customFormat="1" ht="12" customHeight="1" thickBot="1">
      <c r="A35" s="364" t="s">
        <v>12</v>
      </c>
      <c r="B35" s="199" t="s">
        <v>517</v>
      </c>
      <c r="C35" s="36"/>
      <c r="D35" s="389"/>
      <c r="E35" s="370"/>
      <c r="F35" s="370"/>
      <c r="G35" s="370"/>
      <c r="H35" s="370"/>
    </row>
    <row r="36" spans="1:8" s="330" customFormat="1" ht="12" customHeight="1" thickBot="1">
      <c r="A36" s="309" t="s">
        <v>13</v>
      </c>
      <c r="B36" s="199" t="s">
        <v>518</v>
      </c>
      <c r="C36" s="246">
        <f aca="true" t="shared" si="4" ref="C36:H36">+C8+C20+C25+C26+C30+C34+C35</f>
        <v>12000</v>
      </c>
      <c r="D36" s="386">
        <f t="shared" si="4"/>
        <v>63010</v>
      </c>
      <c r="E36" s="371">
        <f t="shared" si="4"/>
        <v>29952</v>
      </c>
      <c r="F36" s="371">
        <v>29952</v>
      </c>
      <c r="G36" s="371">
        <f t="shared" si="4"/>
        <v>0</v>
      </c>
      <c r="H36" s="371">
        <f t="shared" si="4"/>
        <v>0</v>
      </c>
    </row>
    <row r="37" spans="1:8" s="354" customFormat="1" ht="12" customHeight="1" thickBot="1">
      <c r="A37" s="366" t="s">
        <v>14</v>
      </c>
      <c r="B37" s="199" t="s">
        <v>519</v>
      </c>
      <c r="C37" s="246">
        <f aca="true" t="shared" si="5" ref="C37:H37">+C38+C39+C40</f>
        <v>342790060</v>
      </c>
      <c r="D37" s="386">
        <f t="shared" si="5"/>
        <v>352362562</v>
      </c>
      <c r="E37" s="371">
        <f t="shared" si="5"/>
        <v>342323507</v>
      </c>
      <c r="F37" s="371">
        <f t="shared" si="5"/>
        <v>332540089</v>
      </c>
      <c r="G37" s="371">
        <f t="shared" si="5"/>
        <v>9783418</v>
      </c>
      <c r="H37" s="371">
        <f t="shared" si="5"/>
        <v>0</v>
      </c>
    </row>
    <row r="38" spans="1:8" s="354" customFormat="1" ht="15" customHeight="1">
      <c r="A38" s="376" t="s">
        <v>520</v>
      </c>
      <c r="B38" s="377" t="s">
        <v>159</v>
      </c>
      <c r="C38" s="90"/>
      <c r="D38" s="382">
        <v>8762532</v>
      </c>
      <c r="E38" s="358">
        <v>8762532</v>
      </c>
      <c r="F38" s="358">
        <v>8762532</v>
      </c>
      <c r="G38" s="358"/>
      <c r="H38" s="358"/>
    </row>
    <row r="39" spans="1:8" s="354" customFormat="1" ht="15" customHeight="1">
      <c r="A39" s="376" t="s">
        <v>521</v>
      </c>
      <c r="B39" s="378" t="s">
        <v>2</v>
      </c>
      <c r="C39" s="247"/>
      <c r="D39" s="390"/>
      <c r="E39" s="357"/>
      <c r="F39" s="357"/>
      <c r="G39" s="357"/>
      <c r="H39" s="357"/>
    </row>
    <row r="40" spans="1:8" ht="13.5" thickBot="1">
      <c r="A40" s="375" t="s">
        <v>522</v>
      </c>
      <c r="B40" s="363" t="s">
        <v>523</v>
      </c>
      <c r="C40" s="361">
        <v>342790060</v>
      </c>
      <c r="D40" s="391">
        <v>343600030</v>
      </c>
      <c r="E40" s="356">
        <v>333560975</v>
      </c>
      <c r="F40" s="356">
        <f>E40-G40</f>
        <v>323777557</v>
      </c>
      <c r="G40" s="356">
        <v>9783418</v>
      </c>
      <c r="H40" s="356"/>
    </row>
    <row r="41" spans="1:8" s="353" customFormat="1" ht="16.5" customHeight="1" thickBot="1">
      <c r="A41" s="366" t="s">
        <v>15</v>
      </c>
      <c r="B41" s="367" t="s">
        <v>524</v>
      </c>
      <c r="C41" s="95">
        <f aca="true" t="shared" si="6" ref="C41:H41">+C36+C37</f>
        <v>342802060</v>
      </c>
      <c r="D41" s="392">
        <f t="shared" si="6"/>
        <v>352425572</v>
      </c>
      <c r="E41" s="372">
        <f t="shared" si="6"/>
        <v>342353459</v>
      </c>
      <c r="F41" s="372">
        <f t="shared" si="6"/>
        <v>332570041</v>
      </c>
      <c r="G41" s="372">
        <f t="shared" si="6"/>
        <v>9783418</v>
      </c>
      <c r="H41" s="372">
        <f t="shared" si="6"/>
        <v>0</v>
      </c>
    </row>
    <row r="42" spans="1:5" s="186" customFormat="1" ht="12" customHeight="1">
      <c r="A42" s="315"/>
      <c r="B42" s="316"/>
      <c r="C42" s="328"/>
      <c r="D42" s="328"/>
      <c r="E42" s="328"/>
    </row>
    <row r="43" spans="1:5" ht="12" customHeight="1" thickBot="1">
      <c r="A43" s="317"/>
      <c r="B43" s="318"/>
      <c r="C43" s="329"/>
      <c r="D43" s="329"/>
      <c r="E43" s="329"/>
    </row>
    <row r="44" spans="1:8" ht="12" customHeight="1" thickBot="1">
      <c r="A44" s="916" t="s">
        <v>42</v>
      </c>
      <c r="B44" s="917"/>
      <c r="C44" s="917"/>
      <c r="D44" s="917"/>
      <c r="E44" s="917"/>
      <c r="F44" s="917"/>
      <c r="G44" s="917"/>
      <c r="H44" s="918"/>
    </row>
    <row r="45" spans="1:8" ht="12" customHeight="1" thickBot="1">
      <c r="A45" s="666" t="s">
        <v>6</v>
      </c>
      <c r="B45" s="667" t="s">
        <v>525</v>
      </c>
      <c r="C45" s="668">
        <f aca="true" t="shared" si="7" ref="C45:H45">SUM(C46:C50)</f>
        <v>341852060</v>
      </c>
      <c r="D45" s="668">
        <f t="shared" si="7"/>
        <v>351388880</v>
      </c>
      <c r="E45" s="669">
        <f t="shared" si="7"/>
        <v>337741675</v>
      </c>
      <c r="F45" s="669">
        <f t="shared" si="7"/>
        <v>327958257</v>
      </c>
      <c r="G45" s="669">
        <f t="shared" si="7"/>
        <v>9783418</v>
      </c>
      <c r="H45" s="669">
        <f t="shared" si="7"/>
        <v>0</v>
      </c>
    </row>
    <row r="46" spans="1:8" ht="12" customHeight="1">
      <c r="A46" s="375" t="s">
        <v>66</v>
      </c>
      <c r="B46" s="191" t="s">
        <v>36</v>
      </c>
      <c r="C46" s="90">
        <v>261836703</v>
      </c>
      <c r="D46" s="90">
        <v>261558772</v>
      </c>
      <c r="E46" s="358">
        <v>260726604</v>
      </c>
      <c r="F46" s="358">
        <f>E46-G46</f>
        <v>253714909</v>
      </c>
      <c r="G46" s="358">
        <v>7011695</v>
      </c>
      <c r="H46" s="358"/>
    </row>
    <row r="47" spans="1:8" ht="12" customHeight="1">
      <c r="A47" s="375" t="s">
        <v>67</v>
      </c>
      <c r="B47" s="190" t="s">
        <v>127</v>
      </c>
      <c r="C47" s="240">
        <v>52066757</v>
      </c>
      <c r="D47" s="240">
        <v>61368857</v>
      </c>
      <c r="E47" s="380">
        <v>60093857</v>
      </c>
      <c r="F47" s="358">
        <f>E47-G47</f>
        <v>57322134</v>
      </c>
      <c r="G47" s="380">
        <v>2771723</v>
      </c>
      <c r="H47" s="380"/>
    </row>
    <row r="48" spans="1:8" ht="12" customHeight="1">
      <c r="A48" s="375" t="s">
        <v>68</v>
      </c>
      <c r="B48" s="190" t="s">
        <v>95</v>
      </c>
      <c r="C48" s="240">
        <v>27948600</v>
      </c>
      <c r="D48" s="240">
        <v>28461251</v>
      </c>
      <c r="E48" s="380">
        <v>16921214</v>
      </c>
      <c r="F48" s="358">
        <f>E48-G48</f>
        <v>16921214</v>
      </c>
      <c r="G48" s="380"/>
      <c r="H48" s="380"/>
    </row>
    <row r="49" spans="1:8" s="186" customFormat="1" ht="12" customHeight="1">
      <c r="A49" s="375" t="s">
        <v>69</v>
      </c>
      <c r="B49" s="190" t="s">
        <v>128</v>
      </c>
      <c r="C49" s="240"/>
      <c r="D49" s="240"/>
      <c r="E49" s="380"/>
      <c r="F49" s="380"/>
      <c r="G49" s="380"/>
      <c r="H49" s="380"/>
    </row>
    <row r="50" spans="1:8" ht="12" customHeight="1" thickBot="1">
      <c r="A50" s="375" t="s">
        <v>101</v>
      </c>
      <c r="B50" s="190" t="s">
        <v>129</v>
      </c>
      <c r="C50" s="240"/>
      <c r="D50" s="240"/>
      <c r="E50" s="380"/>
      <c r="F50" s="380"/>
      <c r="G50" s="380"/>
      <c r="H50" s="380"/>
    </row>
    <row r="51" spans="1:8" ht="12" customHeight="1" thickBot="1">
      <c r="A51" s="364" t="s">
        <v>7</v>
      </c>
      <c r="B51" s="199" t="s">
        <v>526</v>
      </c>
      <c r="C51" s="246">
        <f>SUM(C52:C54)</f>
        <v>950000</v>
      </c>
      <c r="D51" s="246">
        <f>SUM(D52:D54)</f>
        <v>1036692</v>
      </c>
      <c r="E51" s="371">
        <f>SUM(E52:E54)</f>
        <v>431100</v>
      </c>
      <c r="F51" s="371">
        <f>SUM(F52:F54)</f>
        <v>431100</v>
      </c>
      <c r="G51" s="371">
        <f>SUM(G52:G54)</f>
        <v>0</v>
      </c>
      <c r="H51" s="371"/>
    </row>
    <row r="52" spans="1:8" ht="12" customHeight="1">
      <c r="A52" s="375" t="s">
        <v>72</v>
      </c>
      <c r="B52" s="191" t="s">
        <v>150</v>
      </c>
      <c r="C52" s="90">
        <v>950000</v>
      </c>
      <c r="D52" s="90">
        <v>1036692</v>
      </c>
      <c r="E52" s="358">
        <v>431100</v>
      </c>
      <c r="F52" s="358">
        <v>431100</v>
      </c>
      <c r="G52" s="358"/>
      <c r="H52" s="358"/>
    </row>
    <row r="53" spans="1:8" ht="12" customHeight="1">
      <c r="A53" s="375" t="s">
        <v>73</v>
      </c>
      <c r="B53" s="190" t="s">
        <v>131</v>
      </c>
      <c r="C53" s="240"/>
      <c r="D53" s="240"/>
      <c r="E53" s="380"/>
      <c r="F53" s="380"/>
      <c r="G53" s="380"/>
      <c r="H53" s="380"/>
    </row>
    <row r="54" spans="1:8" ht="15" customHeight="1">
      <c r="A54" s="375" t="s">
        <v>74</v>
      </c>
      <c r="B54" s="190" t="s">
        <v>43</v>
      </c>
      <c r="C54" s="240"/>
      <c r="D54" s="240"/>
      <c r="E54" s="380"/>
      <c r="F54" s="380"/>
      <c r="G54" s="380"/>
      <c r="H54" s="380"/>
    </row>
    <row r="55" spans="1:8" ht="13.5" thickBot="1">
      <c r="A55" s="375" t="s">
        <v>75</v>
      </c>
      <c r="B55" s="190" t="s">
        <v>621</v>
      </c>
      <c r="C55" s="240"/>
      <c r="D55" s="240"/>
      <c r="E55" s="380"/>
      <c r="F55" s="380"/>
      <c r="G55" s="380"/>
      <c r="H55" s="380"/>
    </row>
    <row r="56" spans="1:8" ht="15" customHeight="1" thickBot="1">
      <c r="A56" s="364" t="s">
        <v>8</v>
      </c>
      <c r="B56" s="368" t="s">
        <v>527</v>
      </c>
      <c r="C56" s="95">
        <f>+C45+C51</f>
        <v>342802060</v>
      </c>
      <c r="D56" s="95">
        <f>+D45+D51</f>
        <v>352425572</v>
      </c>
      <c r="E56" s="372">
        <f>+E45+E51</f>
        <v>338172775</v>
      </c>
      <c r="F56" s="372">
        <f>+F45+F51</f>
        <v>328389357</v>
      </c>
      <c r="G56" s="372">
        <f>+G45+G51</f>
        <v>9783418</v>
      </c>
      <c r="H56" s="372"/>
    </row>
    <row r="57" spans="3:5" ht="13.5" thickBot="1">
      <c r="C57" s="373"/>
      <c r="D57" s="373"/>
      <c r="E57" s="373"/>
    </row>
    <row r="58" spans="1:8" ht="13.5" thickBot="1">
      <c r="A58" s="319" t="s">
        <v>614</v>
      </c>
      <c r="B58" s="320"/>
      <c r="C58" s="99">
        <v>75</v>
      </c>
      <c r="D58" s="99">
        <v>75</v>
      </c>
      <c r="E58" s="362">
        <v>75</v>
      </c>
      <c r="F58" s="362"/>
      <c r="G58" s="362"/>
      <c r="H58" s="362"/>
    </row>
    <row r="59" spans="1:8" ht="13.5" thickBot="1">
      <c r="A59" s="319" t="s">
        <v>143</v>
      </c>
      <c r="B59" s="320"/>
      <c r="C59" s="99">
        <v>0</v>
      </c>
      <c r="D59" s="99">
        <v>0</v>
      </c>
      <c r="E59" s="362">
        <v>0</v>
      </c>
      <c r="F59" s="362"/>
      <c r="G59" s="362"/>
      <c r="H59" s="362"/>
    </row>
  </sheetData>
  <sheetProtection formatCells="0"/>
  <mergeCells count="5">
    <mergeCell ref="A7:H7"/>
    <mergeCell ref="A44:H44"/>
    <mergeCell ref="B2:H2"/>
    <mergeCell ref="B3:H3"/>
    <mergeCell ref="E1:H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H59"/>
  <sheetViews>
    <sheetView tabSelected="1" zoomScaleSheetLayoutView="145" workbookViewId="0" topLeftCell="A1">
      <selection activeCell="B2" sqref="B2:H2"/>
    </sheetView>
  </sheetViews>
  <sheetFormatPr defaultColWidth="9.375" defaultRowHeight="12.75"/>
  <cols>
    <col min="1" max="1" width="18.625" style="369" customWidth="1"/>
    <col min="2" max="2" width="62.00390625" style="27" customWidth="1"/>
    <col min="3" max="5" width="15.75390625" style="27" customWidth="1"/>
    <col min="6" max="6" width="13.00390625" style="27" customWidth="1"/>
    <col min="7" max="7" width="12.50390625" style="27" customWidth="1"/>
    <col min="8" max="8" width="11.50390625" style="27" customWidth="1"/>
    <col min="9" max="16384" width="9.375" style="27" customWidth="1"/>
  </cols>
  <sheetData>
    <row r="1" spans="1:8" s="311" customFormat="1" ht="21" customHeight="1" thickBot="1">
      <c r="A1" s="728"/>
      <c r="B1" s="728"/>
      <c r="C1" s="728"/>
      <c r="D1" s="728" t="s">
        <v>1050</v>
      </c>
      <c r="E1" s="928" t="str">
        <f>ÖSSZEFÜGGÉSEK!A40</f>
        <v> a 7/2020.(VII.1.) önkormányzati rendelethez</v>
      </c>
      <c r="F1" s="928"/>
      <c r="G1" s="928"/>
      <c r="H1" s="928"/>
    </row>
    <row r="2" spans="1:8" s="351" customFormat="1" ht="25.5" customHeight="1" thickBot="1">
      <c r="A2" s="334" t="s">
        <v>141</v>
      </c>
      <c r="B2" s="910" t="s">
        <v>1051</v>
      </c>
      <c r="C2" s="935"/>
      <c r="D2" s="935"/>
      <c r="E2" s="935"/>
      <c r="F2" s="935"/>
      <c r="G2" s="935"/>
      <c r="H2" s="936"/>
    </row>
    <row r="3" spans="1:8" s="351" customFormat="1" ht="15.75" thickBot="1">
      <c r="A3" s="350" t="s">
        <v>140</v>
      </c>
      <c r="B3" s="913" t="s">
        <v>502</v>
      </c>
      <c r="C3" s="914"/>
      <c r="D3" s="914"/>
      <c r="E3" s="914"/>
      <c r="F3" s="914"/>
      <c r="G3" s="914"/>
      <c r="H3" s="915"/>
    </row>
    <row r="4" spans="1:8" s="352" customFormat="1" ht="15.75" customHeight="1" thickBot="1">
      <c r="A4" s="312"/>
      <c r="B4" s="312"/>
      <c r="C4" s="313"/>
      <c r="D4" s="313"/>
      <c r="E4" s="313"/>
      <c r="F4" s="313"/>
      <c r="G4" s="313"/>
      <c r="H4" s="313" t="s">
        <v>674</v>
      </c>
    </row>
    <row r="5" spans="1:8" ht="23.25" thickBot="1">
      <c r="A5" s="187" t="s">
        <v>142</v>
      </c>
      <c r="B5" s="188" t="s">
        <v>40</v>
      </c>
      <c r="C5" s="87" t="s">
        <v>172</v>
      </c>
      <c r="D5" s="87" t="s">
        <v>176</v>
      </c>
      <c r="E5" s="314" t="s">
        <v>177</v>
      </c>
      <c r="F5" s="314" t="s">
        <v>872</v>
      </c>
      <c r="G5" s="314" t="s">
        <v>873</v>
      </c>
      <c r="H5" s="314" t="s">
        <v>874</v>
      </c>
    </row>
    <row r="6" spans="1:8" s="353" customFormat="1" ht="12.75" customHeight="1" thickBot="1">
      <c r="A6" s="309" t="s">
        <v>372</v>
      </c>
      <c r="B6" s="310" t="s">
        <v>373</v>
      </c>
      <c r="C6" s="310" t="s">
        <v>374</v>
      </c>
      <c r="D6" s="98" t="s">
        <v>375</v>
      </c>
      <c r="E6" s="96" t="s">
        <v>376</v>
      </c>
      <c r="F6" s="96" t="s">
        <v>451</v>
      </c>
      <c r="G6" s="96" t="s">
        <v>452</v>
      </c>
      <c r="H6" s="96" t="s">
        <v>453</v>
      </c>
    </row>
    <row r="7" spans="1:8" s="353" customFormat="1" ht="15.75" customHeight="1" thickBot="1">
      <c r="A7" s="932" t="s">
        <v>41</v>
      </c>
      <c r="B7" s="933"/>
      <c r="C7" s="933"/>
      <c r="D7" s="933"/>
      <c r="E7" s="933"/>
      <c r="F7" s="933"/>
      <c r="G7" s="933"/>
      <c r="H7" s="933"/>
    </row>
    <row r="8" spans="1:8" s="330" customFormat="1" ht="12" customHeight="1" thickBot="1">
      <c r="A8" s="309" t="s">
        <v>6</v>
      </c>
      <c r="B8" s="365" t="s">
        <v>508</v>
      </c>
      <c r="C8" s="246">
        <f aca="true" t="shared" si="0" ref="C8:H8">SUM(C9:C19)</f>
        <v>0</v>
      </c>
      <c r="D8" s="386">
        <f t="shared" si="0"/>
        <v>0</v>
      </c>
      <c r="E8" s="371">
        <f t="shared" si="0"/>
        <v>1180</v>
      </c>
      <c r="F8" s="371">
        <f t="shared" si="0"/>
        <v>1180</v>
      </c>
      <c r="G8" s="371">
        <f t="shared" si="0"/>
        <v>0</v>
      </c>
      <c r="H8" s="371">
        <f t="shared" si="0"/>
        <v>0</v>
      </c>
    </row>
    <row r="9" spans="1:8" s="330" customFormat="1" ht="12" customHeight="1">
      <c r="A9" s="374" t="s">
        <v>66</v>
      </c>
      <c r="B9" s="192" t="s">
        <v>291</v>
      </c>
      <c r="C9" s="93"/>
      <c r="D9" s="387"/>
      <c r="E9" s="717"/>
      <c r="F9" s="784"/>
      <c r="G9" s="784"/>
      <c r="H9" s="784"/>
    </row>
    <row r="10" spans="1:8" s="330" customFormat="1" ht="12" customHeight="1">
      <c r="A10" s="375" t="s">
        <v>67</v>
      </c>
      <c r="B10" s="190" t="s">
        <v>292</v>
      </c>
      <c r="C10" s="243"/>
      <c r="D10" s="388"/>
      <c r="E10" s="718"/>
      <c r="F10" s="785"/>
      <c r="G10" s="785"/>
      <c r="H10" s="785"/>
    </row>
    <row r="11" spans="1:8" s="330" customFormat="1" ht="12" customHeight="1">
      <c r="A11" s="375" t="s">
        <v>68</v>
      </c>
      <c r="B11" s="190" t="s">
        <v>293</v>
      </c>
      <c r="C11" s="243"/>
      <c r="D11" s="388"/>
      <c r="E11" s="718"/>
      <c r="F11" s="785"/>
      <c r="G11" s="785"/>
      <c r="H11" s="785"/>
    </row>
    <row r="12" spans="1:8" s="330" customFormat="1" ht="12" customHeight="1">
      <c r="A12" s="375" t="s">
        <v>69</v>
      </c>
      <c r="B12" s="190" t="s">
        <v>294</v>
      </c>
      <c r="C12" s="243"/>
      <c r="D12" s="388"/>
      <c r="E12" s="718"/>
      <c r="F12" s="785"/>
      <c r="G12" s="785"/>
      <c r="H12" s="785"/>
    </row>
    <row r="13" spans="1:8" s="330" customFormat="1" ht="12" customHeight="1">
      <c r="A13" s="375" t="s">
        <v>101</v>
      </c>
      <c r="B13" s="190" t="s">
        <v>295</v>
      </c>
      <c r="C13" s="243"/>
      <c r="D13" s="388"/>
      <c r="E13" s="718"/>
      <c r="F13" s="785"/>
      <c r="G13" s="785"/>
      <c r="H13" s="785"/>
    </row>
    <row r="14" spans="1:8" s="330" customFormat="1" ht="12" customHeight="1">
      <c r="A14" s="375" t="s">
        <v>70</v>
      </c>
      <c r="B14" s="190" t="s">
        <v>509</v>
      </c>
      <c r="C14" s="243"/>
      <c r="D14" s="388"/>
      <c r="E14" s="718"/>
      <c r="F14" s="785"/>
      <c r="G14" s="785"/>
      <c r="H14" s="785"/>
    </row>
    <row r="15" spans="1:8" s="354" customFormat="1" ht="12" customHeight="1">
      <c r="A15" s="375" t="s">
        <v>71</v>
      </c>
      <c r="B15" s="189" t="s">
        <v>510</v>
      </c>
      <c r="C15" s="243"/>
      <c r="D15" s="388"/>
      <c r="E15" s="718"/>
      <c r="F15" s="785"/>
      <c r="G15" s="785"/>
      <c r="H15" s="785"/>
    </row>
    <row r="16" spans="1:8" s="354" customFormat="1" ht="12" customHeight="1">
      <c r="A16" s="375" t="s">
        <v>79</v>
      </c>
      <c r="B16" s="190" t="s">
        <v>298</v>
      </c>
      <c r="C16" s="243"/>
      <c r="D16" s="243"/>
      <c r="E16" s="244"/>
      <c r="F16" s="785"/>
      <c r="G16" s="785"/>
      <c r="H16" s="785"/>
    </row>
    <row r="17" spans="1:8" s="354" customFormat="1" ht="12" customHeight="1">
      <c r="A17" s="375" t="s">
        <v>80</v>
      </c>
      <c r="B17" s="190" t="s">
        <v>939</v>
      </c>
      <c r="C17" s="243"/>
      <c r="D17" s="243"/>
      <c r="E17" s="244"/>
      <c r="F17" s="785"/>
      <c r="G17" s="785"/>
      <c r="H17" s="785"/>
    </row>
    <row r="18" spans="1:8" s="330" customFormat="1" ht="12" customHeight="1">
      <c r="A18" s="375" t="s">
        <v>81</v>
      </c>
      <c r="B18" s="190" t="s">
        <v>300</v>
      </c>
      <c r="C18" s="243"/>
      <c r="D18" s="388"/>
      <c r="E18" s="718"/>
      <c r="F18" s="785"/>
      <c r="G18" s="785"/>
      <c r="H18" s="785"/>
    </row>
    <row r="19" spans="1:8" s="354" customFormat="1" ht="12" customHeight="1" thickBot="1">
      <c r="A19" s="375" t="s">
        <v>82</v>
      </c>
      <c r="B19" s="189" t="s">
        <v>302</v>
      </c>
      <c r="C19" s="245"/>
      <c r="D19" s="102"/>
      <c r="E19" s="719">
        <v>1180</v>
      </c>
      <c r="F19" s="786">
        <v>1180</v>
      </c>
      <c r="G19" s="786"/>
      <c r="H19" s="786"/>
    </row>
    <row r="20" spans="1:8" s="354" customFormat="1" ht="12" customHeight="1" thickBot="1">
      <c r="A20" s="309" t="s">
        <v>7</v>
      </c>
      <c r="B20" s="365" t="s">
        <v>511</v>
      </c>
      <c r="C20" s="246">
        <f aca="true" t="shared" si="1" ref="C20:H20">SUM(C21:C23)</f>
        <v>0</v>
      </c>
      <c r="D20" s="386">
        <f t="shared" si="1"/>
        <v>0</v>
      </c>
      <c r="E20" s="371">
        <f t="shared" si="1"/>
        <v>0</v>
      </c>
      <c r="F20" s="371">
        <f t="shared" si="1"/>
        <v>0</v>
      </c>
      <c r="G20" s="371">
        <f t="shared" si="1"/>
        <v>0</v>
      </c>
      <c r="H20" s="371">
        <f t="shared" si="1"/>
        <v>0</v>
      </c>
    </row>
    <row r="21" spans="1:8" s="354" customFormat="1" ht="12" customHeight="1">
      <c r="A21" s="375" t="s">
        <v>72</v>
      </c>
      <c r="B21" s="191" t="s">
        <v>270</v>
      </c>
      <c r="C21" s="243"/>
      <c r="D21" s="388"/>
      <c r="E21" s="101"/>
      <c r="F21" s="101"/>
      <c r="G21" s="101"/>
      <c r="H21" s="101"/>
    </row>
    <row r="22" spans="1:8" s="354" customFormat="1" ht="12" customHeight="1">
      <c r="A22" s="375" t="s">
        <v>73</v>
      </c>
      <c r="B22" s="190" t="s">
        <v>512</v>
      </c>
      <c r="C22" s="243"/>
      <c r="D22" s="388"/>
      <c r="E22" s="101"/>
      <c r="F22" s="101"/>
      <c r="G22" s="101"/>
      <c r="H22" s="101"/>
    </row>
    <row r="23" spans="1:8" s="354" customFormat="1" ht="12" customHeight="1">
      <c r="A23" s="375" t="s">
        <v>74</v>
      </c>
      <c r="B23" s="190" t="s">
        <v>513</v>
      </c>
      <c r="C23" s="243"/>
      <c r="D23" s="388"/>
      <c r="E23" s="101"/>
      <c r="F23" s="101"/>
      <c r="G23" s="101"/>
      <c r="H23" s="101"/>
    </row>
    <row r="24" spans="1:8" s="330" customFormat="1" ht="12" customHeight="1" thickBot="1">
      <c r="A24" s="375" t="s">
        <v>75</v>
      </c>
      <c r="B24" s="190" t="s">
        <v>619</v>
      </c>
      <c r="C24" s="243"/>
      <c r="D24" s="388"/>
      <c r="E24" s="101"/>
      <c r="F24" s="101"/>
      <c r="G24" s="101"/>
      <c r="H24" s="101"/>
    </row>
    <row r="25" spans="1:8" s="330" customFormat="1" ht="12" customHeight="1" thickBot="1">
      <c r="A25" s="364" t="s">
        <v>8</v>
      </c>
      <c r="B25" s="199" t="s">
        <v>118</v>
      </c>
      <c r="C25" s="36"/>
      <c r="D25" s="389"/>
      <c r="E25" s="370"/>
      <c r="F25" s="370"/>
      <c r="G25" s="370"/>
      <c r="H25" s="370"/>
    </row>
    <row r="26" spans="1:8" s="330" customFormat="1" ht="12" customHeight="1" thickBot="1">
      <c r="A26" s="364" t="s">
        <v>9</v>
      </c>
      <c r="B26" s="199" t="s">
        <v>514</v>
      </c>
      <c r="C26" s="246">
        <f aca="true" t="shared" si="2" ref="C26:H26">+C27+C28</f>
        <v>0</v>
      </c>
      <c r="D26" s="386">
        <f t="shared" si="2"/>
        <v>0</v>
      </c>
      <c r="E26" s="371">
        <f t="shared" si="2"/>
        <v>0</v>
      </c>
      <c r="F26" s="371">
        <f t="shared" si="2"/>
        <v>0</v>
      </c>
      <c r="G26" s="371">
        <f t="shared" si="2"/>
        <v>0</v>
      </c>
      <c r="H26" s="371">
        <f t="shared" si="2"/>
        <v>0</v>
      </c>
    </row>
    <row r="27" spans="1:8" s="330" customFormat="1" ht="12" customHeight="1">
      <c r="A27" s="376" t="s">
        <v>284</v>
      </c>
      <c r="B27" s="377" t="s">
        <v>512</v>
      </c>
      <c r="C27" s="90"/>
      <c r="D27" s="382"/>
      <c r="E27" s="358"/>
      <c r="F27" s="358"/>
      <c r="G27" s="358"/>
      <c r="H27" s="358"/>
    </row>
    <row r="28" spans="1:8" s="330" customFormat="1" ht="12" customHeight="1">
      <c r="A28" s="376" t="s">
        <v>286</v>
      </c>
      <c r="B28" s="378" t="s">
        <v>515</v>
      </c>
      <c r="C28" s="247"/>
      <c r="D28" s="390"/>
      <c r="E28" s="357"/>
      <c r="F28" s="357"/>
      <c r="G28" s="357"/>
      <c r="H28" s="357"/>
    </row>
    <row r="29" spans="1:8" s="330" customFormat="1" ht="12" customHeight="1" thickBot="1">
      <c r="A29" s="375" t="s">
        <v>287</v>
      </c>
      <c r="B29" s="379" t="s">
        <v>620</v>
      </c>
      <c r="C29" s="361"/>
      <c r="D29" s="391"/>
      <c r="E29" s="356"/>
      <c r="F29" s="356"/>
      <c r="G29" s="356"/>
      <c r="H29" s="356"/>
    </row>
    <row r="30" spans="1:8" s="330" customFormat="1" ht="12" customHeight="1" thickBot="1">
      <c r="A30" s="364" t="s">
        <v>10</v>
      </c>
      <c r="B30" s="199" t="s">
        <v>516</v>
      </c>
      <c r="C30" s="246">
        <f aca="true" t="shared" si="3" ref="C30:H30">+C31+C32+C33</f>
        <v>0</v>
      </c>
      <c r="D30" s="386">
        <f t="shared" si="3"/>
        <v>0</v>
      </c>
      <c r="E30" s="371">
        <f t="shared" si="3"/>
        <v>0</v>
      </c>
      <c r="F30" s="371">
        <f t="shared" si="3"/>
        <v>0</v>
      </c>
      <c r="G30" s="371">
        <f t="shared" si="3"/>
        <v>0</v>
      </c>
      <c r="H30" s="371">
        <f t="shared" si="3"/>
        <v>0</v>
      </c>
    </row>
    <row r="31" spans="1:8" s="330" customFormat="1" ht="12" customHeight="1">
      <c r="A31" s="376" t="s">
        <v>59</v>
      </c>
      <c r="B31" s="377" t="s">
        <v>304</v>
      </c>
      <c r="C31" s="90"/>
      <c r="D31" s="382"/>
      <c r="E31" s="358"/>
      <c r="F31" s="358"/>
      <c r="G31" s="358"/>
      <c r="H31" s="358"/>
    </row>
    <row r="32" spans="1:8" s="330" customFormat="1" ht="12" customHeight="1">
      <c r="A32" s="376" t="s">
        <v>60</v>
      </c>
      <c r="B32" s="378" t="s">
        <v>305</v>
      </c>
      <c r="C32" s="247"/>
      <c r="D32" s="390"/>
      <c r="E32" s="357"/>
      <c r="F32" s="357"/>
      <c r="G32" s="357"/>
      <c r="H32" s="357"/>
    </row>
    <row r="33" spans="1:8" s="330" customFormat="1" ht="12" customHeight="1" thickBot="1">
      <c r="A33" s="375" t="s">
        <v>61</v>
      </c>
      <c r="B33" s="363" t="s">
        <v>307</v>
      </c>
      <c r="C33" s="361"/>
      <c r="D33" s="391"/>
      <c r="E33" s="356"/>
      <c r="F33" s="356"/>
      <c r="G33" s="356"/>
      <c r="H33" s="356"/>
    </row>
    <row r="34" spans="1:8" s="330" customFormat="1" ht="12" customHeight="1" thickBot="1">
      <c r="A34" s="364" t="s">
        <v>11</v>
      </c>
      <c r="B34" s="199" t="s">
        <v>431</v>
      </c>
      <c r="C34" s="36"/>
      <c r="D34" s="389"/>
      <c r="E34" s="370"/>
      <c r="F34" s="370"/>
      <c r="G34" s="370"/>
      <c r="H34" s="370"/>
    </row>
    <row r="35" spans="1:8" s="330" customFormat="1" ht="12" customHeight="1" thickBot="1">
      <c r="A35" s="364" t="s">
        <v>12</v>
      </c>
      <c r="B35" s="199" t="s">
        <v>517</v>
      </c>
      <c r="C35" s="36"/>
      <c r="D35" s="389"/>
      <c r="E35" s="370"/>
      <c r="F35" s="370"/>
      <c r="G35" s="370"/>
      <c r="H35" s="370"/>
    </row>
    <row r="36" spans="1:8" s="330" customFormat="1" ht="12" customHeight="1" thickBot="1">
      <c r="A36" s="309" t="s">
        <v>13</v>
      </c>
      <c r="B36" s="199" t="s">
        <v>518</v>
      </c>
      <c r="C36" s="246">
        <f aca="true" t="shared" si="4" ref="C36:H36">+C8+C20+C25+C26+C30+C34+C35</f>
        <v>0</v>
      </c>
      <c r="D36" s="386">
        <f t="shared" si="4"/>
        <v>0</v>
      </c>
      <c r="E36" s="371">
        <f t="shared" si="4"/>
        <v>1180</v>
      </c>
      <c r="F36" s="371">
        <f t="shared" si="4"/>
        <v>1180</v>
      </c>
      <c r="G36" s="371">
        <f t="shared" si="4"/>
        <v>0</v>
      </c>
      <c r="H36" s="371">
        <f t="shared" si="4"/>
        <v>0</v>
      </c>
    </row>
    <row r="37" spans="1:8" s="354" customFormat="1" ht="12" customHeight="1" thickBot="1">
      <c r="A37" s="366" t="s">
        <v>14</v>
      </c>
      <c r="B37" s="199" t="s">
        <v>519</v>
      </c>
      <c r="C37" s="246">
        <f aca="true" t="shared" si="5" ref="C37:H37">+C38+C39+C40</f>
        <v>0</v>
      </c>
      <c r="D37" s="386">
        <f t="shared" si="5"/>
        <v>2100000</v>
      </c>
      <c r="E37" s="371">
        <f t="shared" si="5"/>
        <v>1395897</v>
      </c>
      <c r="F37" s="371">
        <f t="shared" si="5"/>
        <v>1395897</v>
      </c>
      <c r="G37" s="371">
        <f t="shared" si="5"/>
        <v>0</v>
      </c>
      <c r="H37" s="371">
        <f t="shared" si="5"/>
        <v>0</v>
      </c>
    </row>
    <row r="38" spans="1:8" s="354" customFormat="1" ht="15" customHeight="1">
      <c r="A38" s="376" t="s">
        <v>520</v>
      </c>
      <c r="B38" s="377" t="s">
        <v>159</v>
      </c>
      <c r="C38" s="90"/>
      <c r="D38" s="382"/>
      <c r="E38" s="358"/>
      <c r="F38" s="358"/>
      <c r="G38" s="358"/>
      <c r="H38" s="358"/>
    </row>
    <row r="39" spans="1:8" s="354" customFormat="1" ht="15" customHeight="1">
      <c r="A39" s="376" t="s">
        <v>521</v>
      </c>
      <c r="B39" s="378" t="s">
        <v>2</v>
      </c>
      <c r="C39" s="247"/>
      <c r="D39" s="390"/>
      <c r="E39" s="357"/>
      <c r="F39" s="357"/>
      <c r="G39" s="357"/>
      <c r="H39" s="357"/>
    </row>
    <row r="40" spans="1:8" ht="13.5" thickBot="1">
      <c r="A40" s="375" t="s">
        <v>522</v>
      </c>
      <c r="B40" s="363" t="s">
        <v>523</v>
      </c>
      <c r="C40" s="361"/>
      <c r="D40" s="391">
        <v>2100000</v>
      </c>
      <c r="E40" s="356">
        <v>1395897</v>
      </c>
      <c r="F40" s="356">
        <f>E40-G40</f>
        <v>1395897</v>
      </c>
      <c r="G40" s="356"/>
      <c r="H40" s="356"/>
    </row>
    <row r="41" spans="1:8" s="353" customFormat="1" ht="16.5" customHeight="1" thickBot="1">
      <c r="A41" s="366" t="s">
        <v>15</v>
      </c>
      <c r="B41" s="367" t="s">
        <v>524</v>
      </c>
      <c r="C41" s="95">
        <f aca="true" t="shared" si="6" ref="C41:H41">+C36+C37</f>
        <v>0</v>
      </c>
      <c r="D41" s="392">
        <f t="shared" si="6"/>
        <v>2100000</v>
      </c>
      <c r="E41" s="372">
        <f t="shared" si="6"/>
        <v>1397077</v>
      </c>
      <c r="F41" s="372">
        <f t="shared" si="6"/>
        <v>1397077</v>
      </c>
      <c r="G41" s="372">
        <f t="shared" si="6"/>
        <v>0</v>
      </c>
      <c r="H41" s="372">
        <f t="shared" si="6"/>
        <v>0</v>
      </c>
    </row>
    <row r="42" spans="1:5" s="186" customFormat="1" ht="12" customHeight="1">
      <c r="A42" s="315"/>
      <c r="B42" s="316"/>
      <c r="C42" s="328"/>
      <c r="D42" s="328"/>
      <c r="E42" s="328"/>
    </row>
    <row r="43" spans="1:5" ht="12" customHeight="1" thickBot="1">
      <c r="A43" s="317"/>
      <c r="B43" s="318"/>
      <c r="C43" s="329"/>
      <c r="D43" s="329"/>
      <c r="E43" s="329"/>
    </row>
    <row r="44" spans="1:8" ht="12" customHeight="1" thickBot="1">
      <c r="A44" s="916" t="s">
        <v>42</v>
      </c>
      <c r="B44" s="917"/>
      <c r="C44" s="917"/>
      <c r="D44" s="917"/>
      <c r="E44" s="917"/>
      <c r="F44" s="917"/>
      <c r="G44" s="917"/>
      <c r="H44" s="918"/>
    </row>
    <row r="45" spans="1:8" ht="12" customHeight="1" thickBot="1">
      <c r="A45" s="666" t="s">
        <v>6</v>
      </c>
      <c r="B45" s="667" t="s">
        <v>525</v>
      </c>
      <c r="C45" s="668">
        <f aca="true" t="shared" si="7" ref="C45:H45">SUM(C46:C50)</f>
        <v>0</v>
      </c>
      <c r="D45" s="668">
        <f t="shared" si="7"/>
        <v>2100000</v>
      </c>
      <c r="E45" s="669">
        <f t="shared" si="7"/>
        <v>1156479</v>
      </c>
      <c r="F45" s="669">
        <f t="shared" si="7"/>
        <v>1156479</v>
      </c>
      <c r="G45" s="669">
        <f t="shared" si="7"/>
        <v>0</v>
      </c>
      <c r="H45" s="669">
        <f t="shared" si="7"/>
        <v>0</v>
      </c>
    </row>
    <row r="46" spans="1:8" ht="12" customHeight="1">
      <c r="A46" s="375" t="s">
        <v>66</v>
      </c>
      <c r="B46" s="191" t="s">
        <v>36</v>
      </c>
      <c r="C46" s="90"/>
      <c r="D46" s="90">
        <v>1371402</v>
      </c>
      <c r="E46" s="358">
        <v>933683</v>
      </c>
      <c r="F46" s="358">
        <f>E46-G46</f>
        <v>933683</v>
      </c>
      <c r="G46" s="358"/>
      <c r="H46" s="358"/>
    </row>
    <row r="47" spans="1:8" ht="12" customHeight="1">
      <c r="A47" s="375" t="s">
        <v>67</v>
      </c>
      <c r="B47" s="190" t="s">
        <v>127</v>
      </c>
      <c r="C47" s="240"/>
      <c r="D47" s="240">
        <v>238311</v>
      </c>
      <c r="E47" s="380">
        <v>163394</v>
      </c>
      <c r="F47" s="358">
        <f>E47-G47</f>
        <v>163394</v>
      </c>
      <c r="G47" s="380"/>
      <c r="H47" s="380"/>
    </row>
    <row r="48" spans="1:8" ht="12" customHeight="1">
      <c r="A48" s="375" t="s">
        <v>68</v>
      </c>
      <c r="B48" s="190" t="s">
        <v>95</v>
      </c>
      <c r="C48" s="240"/>
      <c r="D48" s="240">
        <v>490287</v>
      </c>
      <c r="E48" s="380">
        <v>59402</v>
      </c>
      <c r="F48" s="358">
        <f>E48-G48</f>
        <v>59402</v>
      </c>
      <c r="G48" s="380"/>
      <c r="H48" s="380"/>
    </row>
    <row r="49" spans="1:8" s="186" customFormat="1" ht="12" customHeight="1">
      <c r="A49" s="375" t="s">
        <v>69</v>
      </c>
      <c r="B49" s="190" t="s">
        <v>128</v>
      </c>
      <c r="C49" s="240"/>
      <c r="D49" s="240"/>
      <c r="E49" s="380"/>
      <c r="F49" s="380"/>
      <c r="G49" s="380"/>
      <c r="H49" s="380"/>
    </row>
    <row r="50" spans="1:8" ht="12" customHeight="1" thickBot="1">
      <c r="A50" s="375" t="s">
        <v>101</v>
      </c>
      <c r="B50" s="190" t="s">
        <v>129</v>
      </c>
      <c r="C50" s="240"/>
      <c r="D50" s="240"/>
      <c r="E50" s="380"/>
      <c r="F50" s="380"/>
      <c r="G50" s="380"/>
      <c r="H50" s="380"/>
    </row>
    <row r="51" spans="1:8" ht="12" customHeight="1" thickBot="1">
      <c r="A51" s="364" t="s">
        <v>7</v>
      </c>
      <c r="B51" s="199" t="s">
        <v>526</v>
      </c>
      <c r="C51" s="246">
        <f>SUM(C52:C54)</f>
        <v>0</v>
      </c>
      <c r="D51" s="246">
        <f>SUM(D52:D54)</f>
        <v>0</v>
      </c>
      <c r="E51" s="371">
        <f>SUM(E52:E54)</f>
        <v>0</v>
      </c>
      <c r="F51" s="371">
        <f>SUM(F52:F54)</f>
        <v>0</v>
      </c>
      <c r="G51" s="371">
        <f>SUM(G52:G54)</f>
        <v>0</v>
      </c>
      <c r="H51" s="371"/>
    </row>
    <row r="52" spans="1:8" ht="12" customHeight="1">
      <c r="A52" s="375" t="s">
        <v>72</v>
      </c>
      <c r="B52" s="191" t="s">
        <v>150</v>
      </c>
      <c r="C52" s="90"/>
      <c r="D52" s="90"/>
      <c r="E52" s="358"/>
      <c r="F52" s="358"/>
      <c r="G52" s="358"/>
      <c r="H52" s="358"/>
    </row>
    <row r="53" spans="1:8" ht="12" customHeight="1">
      <c r="A53" s="375" t="s">
        <v>73</v>
      </c>
      <c r="B53" s="190" t="s">
        <v>131</v>
      </c>
      <c r="C53" s="240"/>
      <c r="D53" s="240"/>
      <c r="E53" s="380"/>
      <c r="F53" s="380"/>
      <c r="G53" s="380"/>
      <c r="H53" s="380"/>
    </row>
    <row r="54" spans="1:8" ht="15" customHeight="1">
      <c r="A54" s="375" t="s">
        <v>74</v>
      </c>
      <c r="B54" s="190" t="s">
        <v>43</v>
      </c>
      <c r="C54" s="240"/>
      <c r="D54" s="240"/>
      <c r="E54" s="380"/>
      <c r="F54" s="380"/>
      <c r="G54" s="380"/>
      <c r="H54" s="380"/>
    </row>
    <row r="55" spans="1:8" ht="13.5" thickBot="1">
      <c r="A55" s="375" t="s">
        <v>75</v>
      </c>
      <c r="B55" s="190" t="s">
        <v>621</v>
      </c>
      <c r="C55" s="240"/>
      <c r="D55" s="240"/>
      <c r="E55" s="380"/>
      <c r="F55" s="380"/>
      <c r="G55" s="380"/>
      <c r="H55" s="380"/>
    </row>
    <row r="56" spans="1:8" ht="15" customHeight="1" thickBot="1">
      <c r="A56" s="364" t="s">
        <v>8</v>
      </c>
      <c r="B56" s="368" t="s">
        <v>527</v>
      </c>
      <c r="C56" s="95">
        <f>+C45+C51</f>
        <v>0</v>
      </c>
      <c r="D56" s="95">
        <f>+D45+D51</f>
        <v>2100000</v>
      </c>
      <c r="E56" s="372">
        <f>+E45+E51</f>
        <v>1156479</v>
      </c>
      <c r="F56" s="372">
        <f>+F45+F51</f>
        <v>1156479</v>
      </c>
      <c r="G56" s="372">
        <f>+G45+G51</f>
        <v>0</v>
      </c>
      <c r="H56" s="372"/>
    </row>
    <row r="57" spans="3:5" ht="13.5" thickBot="1">
      <c r="C57" s="373"/>
      <c r="D57" s="373"/>
      <c r="E57" s="373"/>
    </row>
    <row r="58" spans="1:8" ht="13.5" thickBot="1">
      <c r="A58" s="319" t="s">
        <v>614</v>
      </c>
      <c r="B58" s="320"/>
      <c r="C58" s="99"/>
      <c r="D58" s="99">
        <v>1</v>
      </c>
      <c r="E58" s="362">
        <v>1</v>
      </c>
      <c r="F58" s="362"/>
      <c r="G58" s="362"/>
      <c r="H58" s="362"/>
    </row>
    <row r="59" spans="1:8" ht="13.5" thickBot="1">
      <c r="A59" s="319" t="s">
        <v>143</v>
      </c>
      <c r="B59" s="320"/>
      <c r="C59" s="99">
        <v>0</v>
      </c>
      <c r="D59" s="99">
        <v>0</v>
      </c>
      <c r="E59" s="362">
        <v>0</v>
      </c>
      <c r="F59" s="362"/>
      <c r="G59" s="362"/>
      <c r="H59" s="362"/>
    </row>
  </sheetData>
  <sheetProtection formatCells="0"/>
  <mergeCells count="5">
    <mergeCell ref="E1:H1"/>
    <mergeCell ref="B2:H2"/>
    <mergeCell ref="B3:H3"/>
    <mergeCell ref="A7:H7"/>
    <mergeCell ref="A44:H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5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C11"/>
  <sheetViews>
    <sheetView workbookViewId="0" topLeftCell="A1">
      <selection activeCell="C1" sqref="C1"/>
    </sheetView>
  </sheetViews>
  <sheetFormatPr defaultColWidth="9.375" defaultRowHeight="12.75"/>
  <cols>
    <col min="1" max="1" width="17.75390625" style="27" customWidth="1"/>
    <col min="2" max="2" width="43.625" style="27" customWidth="1"/>
    <col min="3" max="5" width="26.00390625" style="27" customWidth="1"/>
    <col min="6" max="16384" width="9.375" style="27" customWidth="1"/>
  </cols>
  <sheetData>
    <row r="2" ht="17.25" customHeight="1">
      <c r="C2" s="27" t="s">
        <v>700</v>
      </c>
    </row>
    <row r="3" spans="1:3" s="185" customFormat="1" ht="57.75" customHeight="1">
      <c r="A3" s="779" t="s">
        <v>214</v>
      </c>
      <c r="B3" s="779" t="s">
        <v>47</v>
      </c>
      <c r="C3" s="780" t="s">
        <v>928</v>
      </c>
    </row>
    <row r="4" spans="1:3" s="186" customFormat="1" ht="70.5" customHeight="1">
      <c r="A4" s="781">
        <v>1</v>
      </c>
      <c r="B4" s="782" t="s">
        <v>929</v>
      </c>
      <c r="C4" s="783">
        <v>240598</v>
      </c>
    </row>
    <row r="5" spans="1:3" ht="60" customHeight="1">
      <c r="A5" s="781">
        <v>2</v>
      </c>
      <c r="B5" s="782" t="s">
        <v>930</v>
      </c>
      <c r="C5" s="783">
        <v>19781074</v>
      </c>
    </row>
    <row r="6" spans="1:3" ht="60.75" customHeight="1">
      <c r="A6" s="781">
        <v>3</v>
      </c>
      <c r="B6" s="782" t="s">
        <v>931</v>
      </c>
      <c r="C6" s="783">
        <v>745202950</v>
      </c>
    </row>
    <row r="7" spans="1:3" ht="46.5" customHeight="1">
      <c r="A7" s="781">
        <v>4</v>
      </c>
      <c r="B7" s="782" t="s">
        <v>932</v>
      </c>
      <c r="C7" s="783">
        <v>1683675</v>
      </c>
    </row>
    <row r="8" spans="1:3" ht="43.5" customHeight="1">
      <c r="A8" s="781">
        <v>5</v>
      </c>
      <c r="B8" s="782" t="s">
        <v>933</v>
      </c>
      <c r="C8" s="783">
        <v>4180684</v>
      </c>
    </row>
    <row r="9" spans="1:3" ht="59.25" customHeight="1">
      <c r="A9" s="781">
        <v>6</v>
      </c>
      <c r="B9" s="782" t="s">
        <v>934</v>
      </c>
      <c r="C9" s="783">
        <v>2632372</v>
      </c>
    </row>
    <row r="10" spans="1:3" ht="104.25" customHeight="1">
      <c r="A10" s="781">
        <v>7</v>
      </c>
      <c r="B10" s="782" t="s">
        <v>935</v>
      </c>
      <c r="C10" s="783">
        <v>30475878</v>
      </c>
    </row>
    <row r="11" spans="1:3" ht="15" customHeight="1">
      <c r="A11" s="937" t="s">
        <v>834</v>
      </c>
      <c r="B11" s="937"/>
      <c r="C11" s="861">
        <f>SUM(C4:C10)</f>
        <v>804197231</v>
      </c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</sheetData>
  <sheetProtection/>
  <mergeCells count="1">
    <mergeCell ref="A11:B11"/>
  </mergeCells>
  <printOptions horizontalCentered="1"/>
  <pageMargins left="0.7874015748031497" right="0.7874015748031497" top="1.5748031496062993" bottom="0.984251968503937" header="0.7874015748031497" footer="0.7874015748031497"/>
  <pageSetup fitToHeight="1" fitToWidth="1" horizontalDpi="300" verticalDpi="300" orientation="portrait" paperSize="9" r:id="rId1"/>
  <headerFooter alignWithMargins="0">
    <oddHeader>&amp;C&amp;"Times New Roman CE,Félkövér"&amp;12
KÖLTSÉGVETÉSI SZERVEK MARADVÁNYÁNAK ALAKULÁSA&amp;R&amp;"Times New Roman CE,Dőlt"&amp;12 13. sz. melléklet az  7/2020.(VII.1.) önkormányzati rendelethez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14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18.50390625" style="0" customWidth="1"/>
    <col min="2" max="2" width="48.375" style="0" customWidth="1"/>
    <col min="3" max="3" width="24.125" style="0" customWidth="1"/>
    <col min="4" max="4" width="21.125" style="0" customWidth="1"/>
    <col min="5" max="5" width="23.125" style="0" customWidth="1"/>
    <col min="6" max="6" width="18.75390625" style="0" customWidth="1"/>
    <col min="7" max="7" width="15.625" style="0" customWidth="1"/>
    <col min="8" max="9" width="20.125" style="0" customWidth="1"/>
    <col min="10" max="10" width="20.75390625" style="0" customWidth="1"/>
  </cols>
  <sheetData>
    <row r="1" spans="1:10" ht="33" customHeight="1">
      <c r="A1" s="943" t="s">
        <v>1049</v>
      </c>
      <c r="B1" s="943"/>
      <c r="C1" s="943"/>
      <c r="D1" s="943"/>
      <c r="E1" s="943"/>
      <c r="F1" s="943"/>
      <c r="G1" s="943"/>
      <c r="H1" s="943"/>
      <c r="I1" s="943"/>
      <c r="J1" s="943"/>
    </row>
    <row r="2" spans="1:10" ht="43.5" customHeight="1">
      <c r="A2" s="942" t="s">
        <v>927</v>
      </c>
      <c r="B2" s="942"/>
      <c r="C2" s="942"/>
      <c r="D2" s="942"/>
      <c r="E2" s="942"/>
      <c r="F2" s="942"/>
      <c r="G2" s="942"/>
      <c r="H2" s="942"/>
      <c r="I2" s="942"/>
      <c r="J2" s="942"/>
    </row>
    <row r="3" spans="1:10" ht="15" customHeight="1" thickBot="1">
      <c r="A3" s="689"/>
      <c r="B3" s="689"/>
      <c r="C3" s="688"/>
      <c r="D3" s="688"/>
      <c r="E3" s="688"/>
      <c r="F3" s="688"/>
      <c r="G3" s="688"/>
      <c r="H3" s="688"/>
      <c r="I3" s="689"/>
      <c r="J3" s="689"/>
    </row>
    <row r="4" spans="1:11" ht="63" thickBot="1">
      <c r="A4" s="940" t="s">
        <v>4</v>
      </c>
      <c r="B4" s="938" t="s">
        <v>47</v>
      </c>
      <c r="C4" s="686" t="s">
        <v>677</v>
      </c>
      <c r="D4" s="685" t="s">
        <v>666</v>
      </c>
      <c r="E4" s="685" t="s">
        <v>680</v>
      </c>
      <c r="F4" s="685" t="s">
        <v>669</v>
      </c>
      <c r="G4" s="685" t="s">
        <v>823</v>
      </c>
      <c r="H4" s="709" t="s">
        <v>820</v>
      </c>
      <c r="I4" s="709" t="s">
        <v>909</v>
      </c>
      <c r="J4" s="714" t="s">
        <v>38</v>
      </c>
      <c r="K4" s="684"/>
    </row>
    <row r="5" spans="1:10" ht="14.25" thickBot="1">
      <c r="A5" s="941"/>
      <c r="B5" s="939"/>
      <c r="C5" s="687" t="s">
        <v>880</v>
      </c>
      <c r="D5" s="680" t="s">
        <v>880</v>
      </c>
      <c r="E5" s="680" t="s">
        <v>880</v>
      </c>
      <c r="F5" s="680" t="s">
        <v>880</v>
      </c>
      <c r="G5" s="680" t="s">
        <v>880</v>
      </c>
      <c r="H5" s="710" t="s">
        <v>880</v>
      </c>
      <c r="I5" s="710" t="s">
        <v>880</v>
      </c>
      <c r="J5" s="715" t="s">
        <v>880</v>
      </c>
    </row>
    <row r="6" spans="1:10" ht="27" thickBot="1">
      <c r="A6" s="690" t="s">
        <v>6</v>
      </c>
      <c r="B6" s="693" t="str">
        <f>+CONCATENATE("Pénzkészlet ",LEFT('[1]ÖSSZEFÜGGÉSEK'!A3,4),". január 1-jén",CHAR(10),"ebből:")</f>
        <v>Pénzkészlet . január 1-jén
ebből:</v>
      </c>
      <c r="C6" s="705">
        <f aca="true" t="shared" si="0" ref="C6:H6">C7+C8</f>
        <v>725752986</v>
      </c>
      <c r="D6" s="696">
        <f t="shared" si="0"/>
        <v>5353577</v>
      </c>
      <c r="E6" s="696">
        <f t="shared" si="0"/>
        <v>862113</v>
      </c>
      <c r="F6" s="706">
        <f t="shared" si="0"/>
        <v>9489211</v>
      </c>
      <c r="G6" s="696">
        <f t="shared" si="0"/>
        <v>2382032</v>
      </c>
      <c r="H6" s="706">
        <f t="shared" si="0"/>
        <v>3709668</v>
      </c>
      <c r="I6" s="706">
        <f>I7+I8</f>
        <v>0</v>
      </c>
      <c r="J6" s="716">
        <f>SUM(C6:I6)</f>
        <v>747549587</v>
      </c>
    </row>
    <row r="7" spans="1:10" ht="13.5" thickBot="1">
      <c r="A7" s="691" t="s">
        <v>7</v>
      </c>
      <c r="B7" s="694" t="s">
        <v>876</v>
      </c>
      <c r="C7" s="703">
        <v>725461066</v>
      </c>
      <c r="D7" s="697">
        <v>5267107</v>
      </c>
      <c r="E7" s="697">
        <v>858928</v>
      </c>
      <c r="F7" s="707">
        <v>8939491</v>
      </c>
      <c r="G7" s="697">
        <v>2299022</v>
      </c>
      <c r="H7" s="707">
        <v>3655348</v>
      </c>
      <c r="I7" s="707"/>
      <c r="J7" s="716">
        <f aca="true" t="shared" si="1" ref="J7:J14">SUM(C7:I7)</f>
        <v>746480962</v>
      </c>
    </row>
    <row r="8" spans="1:10" ht="13.5" thickBot="1">
      <c r="A8" s="699" t="s">
        <v>8</v>
      </c>
      <c r="B8" s="694" t="s">
        <v>877</v>
      </c>
      <c r="C8" s="703">
        <v>291920</v>
      </c>
      <c r="D8" s="697">
        <v>86470</v>
      </c>
      <c r="E8" s="697">
        <v>3185</v>
      </c>
      <c r="F8" s="707">
        <v>549720</v>
      </c>
      <c r="G8" s="697">
        <v>83010</v>
      </c>
      <c r="H8" s="707">
        <v>54320</v>
      </c>
      <c r="I8" s="707"/>
      <c r="J8" s="716">
        <f t="shared" si="1"/>
        <v>1068625</v>
      </c>
    </row>
    <row r="9" spans="1:10" ht="13.5" thickBot="1">
      <c r="A9" s="691" t="s">
        <v>9</v>
      </c>
      <c r="B9" s="701" t="s">
        <v>878</v>
      </c>
      <c r="C9" s="703">
        <v>2741897045</v>
      </c>
      <c r="D9" s="697">
        <f>10805086+176232653</f>
        <v>187037739</v>
      </c>
      <c r="E9" s="697">
        <f>'8. sz. mell. Családsegítő'!E41-'8. sz. mell. Családsegítő'!E38</f>
        <v>87178451</v>
      </c>
      <c r="F9" s="707">
        <f>'9. sz. mell VGSZ'!E41-'9. sz. mell VGSZ'!E38</f>
        <v>405146413</v>
      </c>
      <c r="G9" s="697">
        <f>'10.sz. mell. Könyvtár'!E41</f>
        <v>98062601</v>
      </c>
      <c r="H9" s="707">
        <f>29952+342323507</f>
        <v>342353459</v>
      </c>
      <c r="I9" s="707">
        <f>'12.sz. mell. Bölcsöde)'!E41</f>
        <v>1397077</v>
      </c>
      <c r="J9" s="716">
        <f t="shared" si="1"/>
        <v>3863072785</v>
      </c>
    </row>
    <row r="10" spans="1:10" ht="13.5" thickBot="1">
      <c r="A10" s="699" t="s">
        <v>10</v>
      </c>
      <c r="B10" s="701" t="s">
        <v>879</v>
      </c>
      <c r="C10" s="703">
        <f>1046252473+950441622</f>
        <v>1996694095</v>
      </c>
      <c r="D10" s="697">
        <v>185354064</v>
      </c>
      <c r="E10" s="697">
        <f>'8. sz. mell. Családsegítő'!E56</f>
        <v>85759561</v>
      </c>
      <c r="F10" s="707">
        <f>'9. sz. mell VGSZ'!E56</f>
        <v>385514546</v>
      </c>
      <c r="G10" s="697">
        <f>'10.sz. mell. Könyvtár'!E56</f>
        <v>78281527</v>
      </c>
      <c r="H10" s="707">
        <f>'11.sz. mell. Óvoda'!E56</f>
        <v>338172775</v>
      </c>
      <c r="I10" s="707">
        <f>'12.sz. mell. Bölcsöde)'!F56</f>
        <v>1156479</v>
      </c>
      <c r="J10" s="716">
        <f t="shared" si="1"/>
        <v>3070933047</v>
      </c>
    </row>
    <row r="11" spans="1:10" ht="13.5" thickBot="1">
      <c r="A11" s="700" t="s">
        <v>11</v>
      </c>
      <c r="B11" s="702" t="s">
        <v>881</v>
      </c>
      <c r="C11" s="704">
        <v>-717099030</v>
      </c>
      <c r="D11" s="698">
        <v>-6087535</v>
      </c>
      <c r="E11" s="698">
        <v>-30042</v>
      </c>
      <c r="F11" s="708">
        <v>5003086</v>
      </c>
      <c r="G11" s="698">
        <v>-2382014</v>
      </c>
      <c r="H11" s="708">
        <v>-7446941</v>
      </c>
      <c r="I11" s="708"/>
      <c r="J11" s="716">
        <f t="shared" si="1"/>
        <v>-728042476</v>
      </c>
    </row>
    <row r="12" spans="1:10" ht="27" thickBot="1">
      <c r="A12" s="690" t="s">
        <v>12</v>
      </c>
      <c r="B12" s="693" t="str">
        <f>+CONCATENATE("Záró pénzkészlet ",LEFT('[1]ÖSSZEFÜGGÉSEK'!A3,4),". december 31-én",CHAR(10),"ebből:")</f>
        <v>Záró pénzkészlet . december 31-én
ebből:</v>
      </c>
      <c r="C12" s="696">
        <f aca="true" t="shared" si="2" ref="C12:H12">C6+C9-C10+C11</f>
        <v>753856906</v>
      </c>
      <c r="D12" s="681">
        <f t="shared" si="2"/>
        <v>949717</v>
      </c>
      <c r="E12" s="681">
        <f t="shared" si="2"/>
        <v>2250961</v>
      </c>
      <c r="F12" s="681">
        <f t="shared" si="2"/>
        <v>34124164</v>
      </c>
      <c r="G12" s="681">
        <f t="shared" si="2"/>
        <v>19781092</v>
      </c>
      <c r="H12" s="711">
        <f t="shared" si="2"/>
        <v>443411</v>
      </c>
      <c r="I12" s="711">
        <f>I6+I9-I10+I11</f>
        <v>240598</v>
      </c>
      <c r="J12" s="716">
        <f t="shared" si="1"/>
        <v>811646849</v>
      </c>
    </row>
    <row r="13" spans="1:10" ht="13.5" thickBot="1">
      <c r="A13" s="691" t="s">
        <v>13</v>
      </c>
      <c r="B13" s="694" t="s">
        <v>876</v>
      </c>
      <c r="C13" s="697">
        <v>753558451</v>
      </c>
      <c r="D13" s="682">
        <v>805557</v>
      </c>
      <c r="E13" s="682">
        <v>2247071</v>
      </c>
      <c r="F13" s="682">
        <v>33864159</v>
      </c>
      <c r="G13" s="682">
        <v>19674827</v>
      </c>
      <c r="H13" s="712">
        <v>302496</v>
      </c>
      <c r="I13" s="712">
        <v>240598</v>
      </c>
      <c r="J13" s="716">
        <f t="shared" si="1"/>
        <v>810693159</v>
      </c>
    </row>
    <row r="14" spans="1:10" ht="13.5" thickBot="1">
      <c r="A14" s="692" t="s">
        <v>14</v>
      </c>
      <c r="B14" s="695" t="s">
        <v>877</v>
      </c>
      <c r="C14" s="698">
        <v>298455</v>
      </c>
      <c r="D14" s="683">
        <v>144160</v>
      </c>
      <c r="E14" s="683">
        <v>3890</v>
      </c>
      <c r="F14" s="683">
        <v>260005</v>
      </c>
      <c r="G14" s="683">
        <v>106265</v>
      </c>
      <c r="H14" s="713">
        <v>140915</v>
      </c>
      <c r="I14" s="713"/>
      <c r="J14" s="716">
        <f t="shared" si="1"/>
        <v>953690</v>
      </c>
    </row>
  </sheetData>
  <sheetProtection/>
  <mergeCells count="4">
    <mergeCell ref="B4:B5"/>
    <mergeCell ref="A4:A5"/>
    <mergeCell ref="A2:J2"/>
    <mergeCell ref="A1:J1"/>
  </mergeCells>
  <conditionalFormatting sqref="C12:I12">
    <cfRule type="cellIs" priority="1" dxfId="2" operator="notEqual" stopIfTrue="1">
      <formula>SUM(C13:C14)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W104"/>
  <sheetViews>
    <sheetView zoomScale="120" zoomScaleNormal="120" zoomScaleSheetLayoutView="40" workbookViewId="0" topLeftCell="P58">
      <selection activeCell="Y102" sqref="Y102"/>
    </sheetView>
  </sheetViews>
  <sheetFormatPr defaultColWidth="9.375" defaultRowHeight="12.75"/>
  <cols>
    <col min="1" max="1" width="43.75390625" style="444" customWidth="1"/>
    <col min="2" max="2" width="16.75390625" style="444" customWidth="1"/>
    <col min="3" max="3" width="16.75390625" style="445" customWidth="1"/>
    <col min="4" max="4" width="43.75390625" style="444" customWidth="1"/>
    <col min="5" max="6" width="16.75390625" style="444" customWidth="1"/>
    <col min="7" max="7" width="43.75390625" style="444" customWidth="1"/>
    <col min="8" max="9" width="16.75390625" style="444" customWidth="1"/>
    <col min="10" max="10" width="43.75390625" style="444" customWidth="1"/>
    <col min="11" max="12" width="16.75390625" style="444" customWidth="1"/>
    <col min="13" max="13" width="43.75390625" style="444" customWidth="1"/>
    <col min="14" max="15" width="16.75390625" style="444" customWidth="1"/>
    <col min="16" max="16" width="43.75390625" style="444" customWidth="1"/>
    <col min="17" max="18" width="16.75390625" style="444" customWidth="1"/>
    <col min="19" max="19" width="43.75390625" style="444" customWidth="1"/>
    <col min="20" max="23" width="16.75390625" style="444" customWidth="1"/>
    <col min="24" max="16384" width="9.375" style="444" customWidth="1"/>
  </cols>
  <sheetData>
    <row r="1" spans="1:23" ht="15.75" customHeight="1" thickBot="1">
      <c r="A1" s="944" t="s">
        <v>677</v>
      </c>
      <c r="B1" s="945"/>
      <c r="C1" s="946"/>
      <c r="D1" s="949" t="s">
        <v>666</v>
      </c>
      <c r="E1" s="950"/>
      <c r="F1" s="951"/>
      <c r="G1" s="944" t="s">
        <v>819</v>
      </c>
      <c r="H1" s="945"/>
      <c r="I1" s="946"/>
      <c r="J1" s="952" t="s">
        <v>669</v>
      </c>
      <c r="K1" s="953"/>
      <c r="L1" s="954"/>
      <c r="M1" s="944" t="s">
        <v>821</v>
      </c>
      <c r="N1" s="945"/>
      <c r="O1" s="946"/>
      <c r="P1" s="944" t="s">
        <v>820</v>
      </c>
      <c r="Q1" s="945"/>
      <c r="R1" s="946"/>
      <c r="S1" s="944" t="s">
        <v>909</v>
      </c>
      <c r="T1" s="945"/>
      <c r="U1" s="946"/>
      <c r="V1" s="947" t="s">
        <v>38</v>
      </c>
      <c r="W1" s="948"/>
    </row>
    <row r="2" spans="1:23" ht="15" thickBot="1">
      <c r="A2" s="769" t="s">
        <v>47</v>
      </c>
      <c r="B2" s="768" t="s">
        <v>701</v>
      </c>
      <c r="C2" s="772" t="s">
        <v>702</v>
      </c>
      <c r="D2" s="769" t="s">
        <v>47</v>
      </c>
      <c r="E2" s="768" t="s">
        <v>701</v>
      </c>
      <c r="F2" s="772" t="s">
        <v>702</v>
      </c>
      <c r="G2" s="769" t="s">
        <v>47</v>
      </c>
      <c r="H2" s="768" t="s">
        <v>701</v>
      </c>
      <c r="I2" s="772" t="s">
        <v>702</v>
      </c>
      <c r="J2" s="769" t="s">
        <v>47</v>
      </c>
      <c r="K2" s="768" t="s">
        <v>701</v>
      </c>
      <c r="L2" s="772" t="s">
        <v>702</v>
      </c>
      <c r="M2" s="769" t="s">
        <v>47</v>
      </c>
      <c r="N2" s="768" t="s">
        <v>701</v>
      </c>
      <c r="O2" s="772" t="s">
        <v>702</v>
      </c>
      <c r="P2" s="769" t="s">
        <v>47</v>
      </c>
      <c r="Q2" s="768" t="s">
        <v>701</v>
      </c>
      <c r="R2" s="772" t="s">
        <v>702</v>
      </c>
      <c r="S2" s="769" t="s">
        <v>47</v>
      </c>
      <c r="T2" s="768" t="s">
        <v>701</v>
      </c>
      <c r="U2" s="772" t="s">
        <v>702</v>
      </c>
      <c r="V2" s="777" t="s">
        <v>701</v>
      </c>
      <c r="W2" s="778" t="s">
        <v>702</v>
      </c>
    </row>
    <row r="3" spans="1:23" ht="12.75">
      <c r="A3" s="731" t="s">
        <v>735</v>
      </c>
      <c r="B3" s="729">
        <v>7179</v>
      </c>
      <c r="C3" s="732">
        <v>0</v>
      </c>
      <c r="D3" s="731" t="s">
        <v>735</v>
      </c>
      <c r="E3" s="729">
        <v>3202655</v>
      </c>
      <c r="F3" s="732">
        <v>3104573</v>
      </c>
      <c r="G3" s="731" t="s">
        <v>735</v>
      </c>
      <c r="H3" s="729">
        <v>97820</v>
      </c>
      <c r="I3" s="732">
        <v>69639</v>
      </c>
      <c r="J3" s="731" t="s">
        <v>735</v>
      </c>
      <c r="K3" s="729">
        <v>0</v>
      </c>
      <c r="L3" s="732">
        <v>0</v>
      </c>
      <c r="M3" s="731" t="s">
        <v>735</v>
      </c>
      <c r="N3" s="729">
        <v>0</v>
      </c>
      <c r="O3" s="732">
        <v>0</v>
      </c>
      <c r="P3" s="731" t="s">
        <v>735</v>
      </c>
      <c r="Q3" s="729">
        <v>0</v>
      </c>
      <c r="R3" s="732">
        <v>0</v>
      </c>
      <c r="S3" s="731" t="s">
        <v>735</v>
      </c>
      <c r="T3" s="729">
        <v>0</v>
      </c>
      <c r="U3" s="732">
        <v>0</v>
      </c>
      <c r="V3" s="775">
        <f>B3+E3+H3+K3+N3+Q3+T3</f>
        <v>3307654</v>
      </c>
      <c r="W3" s="776">
        <f>C3+F3+I3+L3+O3+R3+U3</f>
        <v>3174212</v>
      </c>
    </row>
    <row r="4" spans="1:23" ht="12.75">
      <c r="A4" s="731" t="s">
        <v>736</v>
      </c>
      <c r="B4" s="729">
        <v>2779984</v>
      </c>
      <c r="C4" s="732">
        <v>3901966</v>
      </c>
      <c r="D4" s="731" t="s">
        <v>736</v>
      </c>
      <c r="E4" s="729">
        <v>576802</v>
      </c>
      <c r="F4" s="732">
        <v>470388</v>
      </c>
      <c r="G4" s="731" t="s">
        <v>736</v>
      </c>
      <c r="H4" s="729">
        <v>0</v>
      </c>
      <c r="I4" s="732">
        <v>0</v>
      </c>
      <c r="J4" s="731" t="s">
        <v>736</v>
      </c>
      <c r="K4" s="729">
        <v>0</v>
      </c>
      <c r="L4" s="732">
        <v>0</v>
      </c>
      <c r="M4" s="731" t="s">
        <v>736</v>
      </c>
      <c r="N4" s="729">
        <v>0</v>
      </c>
      <c r="O4" s="732">
        <v>0</v>
      </c>
      <c r="P4" s="731" t="s">
        <v>736</v>
      </c>
      <c r="Q4" s="729">
        <v>0</v>
      </c>
      <c r="R4" s="732">
        <v>0</v>
      </c>
      <c r="S4" s="731" t="s">
        <v>736</v>
      </c>
      <c r="T4" s="729">
        <v>0</v>
      </c>
      <c r="U4" s="732">
        <v>0</v>
      </c>
      <c r="V4" s="773">
        <f aca="true" t="shared" si="0" ref="V4:V32">B4+E4+H4+K4+N4+Q4+T4</f>
        <v>3356786</v>
      </c>
      <c r="W4" s="770">
        <f aca="true" t="shared" si="1" ref="W4:W32">C4+F4+I4+L4+O4+R4+U4</f>
        <v>4372354</v>
      </c>
    </row>
    <row r="5" spans="1:23" ht="12.75">
      <c r="A5" s="733" t="s">
        <v>737</v>
      </c>
      <c r="B5" s="730">
        <v>2787163</v>
      </c>
      <c r="C5" s="734">
        <v>3901966</v>
      </c>
      <c r="D5" s="733" t="s">
        <v>737</v>
      </c>
      <c r="E5" s="730">
        <v>3779457</v>
      </c>
      <c r="F5" s="734">
        <v>3574961</v>
      </c>
      <c r="G5" s="733" t="s">
        <v>737</v>
      </c>
      <c r="H5" s="730">
        <v>97820</v>
      </c>
      <c r="I5" s="734">
        <v>69639</v>
      </c>
      <c r="J5" s="733" t="s">
        <v>737</v>
      </c>
      <c r="K5" s="730">
        <v>0</v>
      </c>
      <c r="L5" s="734">
        <v>0</v>
      </c>
      <c r="M5" s="733" t="s">
        <v>737</v>
      </c>
      <c r="N5" s="730">
        <v>0</v>
      </c>
      <c r="O5" s="734">
        <v>0</v>
      </c>
      <c r="P5" s="733" t="s">
        <v>737</v>
      </c>
      <c r="Q5" s="730">
        <v>0</v>
      </c>
      <c r="R5" s="734">
        <v>0</v>
      </c>
      <c r="S5" s="733" t="s">
        <v>737</v>
      </c>
      <c r="T5" s="730">
        <v>0</v>
      </c>
      <c r="U5" s="734">
        <v>0</v>
      </c>
      <c r="V5" s="774">
        <f t="shared" si="0"/>
        <v>6664440</v>
      </c>
      <c r="W5" s="771">
        <f t="shared" si="1"/>
        <v>7546566</v>
      </c>
    </row>
    <row r="6" spans="1:23" ht="26.25">
      <c r="A6" s="731" t="s">
        <v>738</v>
      </c>
      <c r="B6" s="729">
        <v>11808335067</v>
      </c>
      <c r="C6" s="732">
        <v>11620679780</v>
      </c>
      <c r="D6" s="731" t="s">
        <v>738</v>
      </c>
      <c r="E6" s="729">
        <v>0</v>
      </c>
      <c r="F6" s="732">
        <v>0</v>
      </c>
      <c r="G6" s="731" t="s">
        <v>738</v>
      </c>
      <c r="H6" s="729">
        <v>0</v>
      </c>
      <c r="I6" s="732">
        <v>0</v>
      </c>
      <c r="J6" s="731" t="s">
        <v>738</v>
      </c>
      <c r="K6" s="729">
        <v>16357838</v>
      </c>
      <c r="L6" s="732">
        <v>12185265</v>
      </c>
      <c r="M6" s="731" t="s">
        <v>738</v>
      </c>
      <c r="N6" s="729">
        <v>0</v>
      </c>
      <c r="O6" s="732">
        <v>0</v>
      </c>
      <c r="P6" s="731" t="s">
        <v>738</v>
      </c>
      <c r="Q6" s="729">
        <v>0</v>
      </c>
      <c r="R6" s="732">
        <v>0</v>
      </c>
      <c r="S6" s="731" t="s">
        <v>738</v>
      </c>
      <c r="T6" s="729">
        <v>0</v>
      </c>
      <c r="U6" s="732">
        <v>0</v>
      </c>
      <c r="V6" s="773">
        <f t="shared" si="0"/>
        <v>11824692905</v>
      </c>
      <c r="W6" s="770">
        <f t="shared" si="1"/>
        <v>11632865045</v>
      </c>
    </row>
    <row r="7" spans="1:23" ht="26.25">
      <c r="A7" s="731" t="s">
        <v>739</v>
      </c>
      <c r="B7" s="729">
        <v>152908276</v>
      </c>
      <c r="C7" s="732">
        <v>121993163</v>
      </c>
      <c r="D7" s="731" t="s">
        <v>739</v>
      </c>
      <c r="E7" s="729">
        <v>24478388</v>
      </c>
      <c r="F7" s="732">
        <v>24325930</v>
      </c>
      <c r="G7" s="731" t="s">
        <v>739</v>
      </c>
      <c r="H7" s="729">
        <v>5149159</v>
      </c>
      <c r="I7" s="732">
        <v>7591628</v>
      </c>
      <c r="J7" s="731" t="s">
        <v>739</v>
      </c>
      <c r="K7" s="729">
        <v>10574363</v>
      </c>
      <c r="L7" s="732">
        <v>9760853</v>
      </c>
      <c r="M7" s="731" t="s">
        <v>739</v>
      </c>
      <c r="N7" s="729">
        <v>100000</v>
      </c>
      <c r="O7" s="732">
        <v>992307</v>
      </c>
      <c r="P7" s="731" t="s">
        <v>739</v>
      </c>
      <c r="Q7" s="729">
        <v>0</v>
      </c>
      <c r="R7" s="732">
        <v>0</v>
      </c>
      <c r="S7" s="731" t="s">
        <v>739</v>
      </c>
      <c r="T7" s="729">
        <v>0</v>
      </c>
      <c r="U7" s="732">
        <v>0</v>
      </c>
      <c r="V7" s="773">
        <f t="shared" si="0"/>
        <v>193210186</v>
      </c>
      <c r="W7" s="770">
        <f t="shared" si="1"/>
        <v>164663881</v>
      </c>
    </row>
    <row r="8" spans="1:23" ht="12.75">
      <c r="A8" s="731" t="s">
        <v>740</v>
      </c>
      <c r="B8" s="729">
        <v>37932742</v>
      </c>
      <c r="C8" s="732">
        <v>537081224</v>
      </c>
      <c r="D8" s="731" t="s">
        <v>740</v>
      </c>
      <c r="E8" s="729">
        <v>0</v>
      </c>
      <c r="F8" s="732">
        <v>113551</v>
      </c>
      <c r="G8" s="731" t="s">
        <v>740</v>
      </c>
      <c r="H8" s="729">
        <v>0</v>
      </c>
      <c r="I8" s="732">
        <v>0</v>
      </c>
      <c r="J8" s="731" t="s">
        <v>740</v>
      </c>
      <c r="K8" s="729">
        <v>0</v>
      </c>
      <c r="L8" s="732">
        <v>1027371</v>
      </c>
      <c r="M8" s="731" t="s">
        <v>740</v>
      </c>
      <c r="N8" s="729">
        <v>0</v>
      </c>
      <c r="O8" s="732">
        <v>0</v>
      </c>
      <c r="P8" s="731" t="s">
        <v>740</v>
      </c>
      <c r="Q8" s="729">
        <v>0</v>
      </c>
      <c r="R8" s="732">
        <v>0</v>
      </c>
      <c r="S8" s="731" t="s">
        <v>740</v>
      </c>
      <c r="T8" s="729">
        <v>0</v>
      </c>
      <c r="U8" s="732">
        <v>0</v>
      </c>
      <c r="V8" s="773">
        <f t="shared" si="0"/>
        <v>37932742</v>
      </c>
      <c r="W8" s="770">
        <f t="shared" si="1"/>
        <v>538222146</v>
      </c>
    </row>
    <row r="9" spans="1:23" ht="12.75">
      <c r="A9" s="733" t="s">
        <v>741</v>
      </c>
      <c r="B9" s="730">
        <v>11999176085</v>
      </c>
      <c r="C9" s="734">
        <v>12279754167</v>
      </c>
      <c r="D9" s="733" t="s">
        <v>741</v>
      </c>
      <c r="E9" s="730">
        <v>24478388</v>
      </c>
      <c r="F9" s="734">
        <v>24439481</v>
      </c>
      <c r="G9" s="733" t="s">
        <v>741</v>
      </c>
      <c r="H9" s="730">
        <v>5149159</v>
      </c>
      <c r="I9" s="734">
        <v>7591628</v>
      </c>
      <c r="J9" s="733" t="s">
        <v>741</v>
      </c>
      <c r="K9" s="730">
        <v>26932201</v>
      </c>
      <c r="L9" s="734">
        <v>22973489</v>
      </c>
      <c r="M9" s="733" t="s">
        <v>741</v>
      </c>
      <c r="N9" s="730">
        <v>100000</v>
      </c>
      <c r="O9" s="734">
        <v>992307</v>
      </c>
      <c r="P9" s="733" t="s">
        <v>741</v>
      </c>
      <c r="Q9" s="730">
        <v>0</v>
      </c>
      <c r="R9" s="734">
        <v>0</v>
      </c>
      <c r="S9" s="733" t="s">
        <v>741</v>
      </c>
      <c r="T9" s="730">
        <v>0</v>
      </c>
      <c r="U9" s="734">
        <v>0</v>
      </c>
      <c r="V9" s="774">
        <f t="shared" si="0"/>
        <v>12055835833</v>
      </c>
      <c r="W9" s="771">
        <f t="shared" si="1"/>
        <v>12335751072</v>
      </c>
    </row>
    <row r="10" spans="1:23" ht="12.75">
      <c r="A10" s="731" t="s">
        <v>742</v>
      </c>
      <c r="B10" s="729">
        <v>83500190</v>
      </c>
      <c r="C10" s="732">
        <v>83500190</v>
      </c>
      <c r="D10" s="731" t="s">
        <v>742</v>
      </c>
      <c r="E10" s="729">
        <v>0</v>
      </c>
      <c r="F10" s="732">
        <v>0</v>
      </c>
      <c r="G10" s="731" t="s">
        <v>742</v>
      </c>
      <c r="H10" s="729">
        <v>0</v>
      </c>
      <c r="I10" s="732">
        <v>0</v>
      </c>
      <c r="J10" s="731" t="s">
        <v>742</v>
      </c>
      <c r="K10" s="729">
        <v>0</v>
      </c>
      <c r="L10" s="732">
        <v>0</v>
      </c>
      <c r="M10" s="731" t="s">
        <v>742</v>
      </c>
      <c r="N10" s="729">
        <v>0</v>
      </c>
      <c r="O10" s="732">
        <v>0</v>
      </c>
      <c r="P10" s="731" t="s">
        <v>742</v>
      </c>
      <c r="Q10" s="729">
        <v>0</v>
      </c>
      <c r="R10" s="732">
        <v>0</v>
      </c>
      <c r="S10" s="731" t="s">
        <v>742</v>
      </c>
      <c r="T10" s="729">
        <v>0</v>
      </c>
      <c r="U10" s="732">
        <v>0</v>
      </c>
      <c r="V10" s="773">
        <f t="shared" si="0"/>
        <v>83500190</v>
      </c>
      <c r="W10" s="770">
        <f t="shared" si="1"/>
        <v>83500190</v>
      </c>
    </row>
    <row r="11" spans="1:23" ht="26.25">
      <c r="A11" s="731" t="s">
        <v>743</v>
      </c>
      <c r="B11" s="729">
        <v>83500190</v>
      </c>
      <c r="C11" s="732">
        <v>83500190</v>
      </c>
      <c r="D11" s="731" t="s">
        <v>743</v>
      </c>
      <c r="E11" s="729">
        <v>0</v>
      </c>
      <c r="F11" s="732">
        <v>0</v>
      </c>
      <c r="G11" s="731" t="s">
        <v>743</v>
      </c>
      <c r="H11" s="729">
        <v>0</v>
      </c>
      <c r="I11" s="732">
        <v>0</v>
      </c>
      <c r="J11" s="731" t="s">
        <v>743</v>
      </c>
      <c r="K11" s="729">
        <v>0</v>
      </c>
      <c r="L11" s="732">
        <v>0</v>
      </c>
      <c r="M11" s="731" t="s">
        <v>743</v>
      </c>
      <c r="N11" s="729">
        <v>0</v>
      </c>
      <c r="O11" s="732">
        <v>0</v>
      </c>
      <c r="P11" s="731" t="s">
        <v>743</v>
      </c>
      <c r="Q11" s="729">
        <v>0</v>
      </c>
      <c r="R11" s="732">
        <v>0</v>
      </c>
      <c r="S11" s="731" t="s">
        <v>743</v>
      </c>
      <c r="T11" s="729">
        <v>0</v>
      </c>
      <c r="U11" s="732">
        <v>0</v>
      </c>
      <c r="V11" s="773">
        <f t="shared" si="0"/>
        <v>83500190</v>
      </c>
      <c r="W11" s="770">
        <f t="shared" si="1"/>
        <v>83500190</v>
      </c>
    </row>
    <row r="12" spans="1:23" ht="26.25">
      <c r="A12" s="733" t="s">
        <v>744</v>
      </c>
      <c r="B12" s="730">
        <v>83500190</v>
      </c>
      <c r="C12" s="734">
        <v>83500190</v>
      </c>
      <c r="D12" s="733" t="s">
        <v>744</v>
      </c>
      <c r="E12" s="730">
        <v>0</v>
      </c>
      <c r="F12" s="734">
        <v>0</v>
      </c>
      <c r="G12" s="733" t="s">
        <v>744</v>
      </c>
      <c r="H12" s="730">
        <v>0</v>
      </c>
      <c r="I12" s="734">
        <v>0</v>
      </c>
      <c r="J12" s="733" t="s">
        <v>744</v>
      </c>
      <c r="K12" s="730">
        <v>0</v>
      </c>
      <c r="L12" s="734">
        <v>0</v>
      </c>
      <c r="M12" s="733" t="s">
        <v>744</v>
      </c>
      <c r="N12" s="730">
        <v>0</v>
      </c>
      <c r="O12" s="734">
        <v>0</v>
      </c>
      <c r="P12" s="733" t="s">
        <v>744</v>
      </c>
      <c r="Q12" s="730">
        <v>0</v>
      </c>
      <c r="R12" s="734">
        <v>0</v>
      </c>
      <c r="S12" s="733" t="s">
        <v>744</v>
      </c>
      <c r="T12" s="730">
        <v>0</v>
      </c>
      <c r="U12" s="734">
        <v>0</v>
      </c>
      <c r="V12" s="774">
        <f t="shared" si="0"/>
        <v>83500190</v>
      </c>
      <c r="W12" s="771">
        <f t="shared" si="1"/>
        <v>83500190</v>
      </c>
    </row>
    <row r="13" spans="1:23" ht="26.25">
      <c r="A13" s="733" t="s">
        <v>910</v>
      </c>
      <c r="B13" s="730">
        <v>0</v>
      </c>
      <c r="C13" s="734">
        <v>0</v>
      </c>
      <c r="D13" s="733" t="s">
        <v>910</v>
      </c>
      <c r="E13" s="730">
        <v>0</v>
      </c>
      <c r="F13" s="734">
        <v>0</v>
      </c>
      <c r="G13" s="733" t="s">
        <v>910</v>
      </c>
      <c r="H13" s="730">
        <v>0</v>
      </c>
      <c r="I13" s="734">
        <v>0</v>
      </c>
      <c r="J13" s="733" t="s">
        <v>910</v>
      </c>
      <c r="K13" s="730">
        <v>0</v>
      </c>
      <c r="L13" s="734">
        <v>0</v>
      </c>
      <c r="M13" s="733" t="s">
        <v>910</v>
      </c>
      <c r="N13" s="730">
        <v>0</v>
      </c>
      <c r="O13" s="734">
        <v>0</v>
      </c>
      <c r="P13" s="733" t="s">
        <v>910</v>
      </c>
      <c r="Q13" s="730">
        <v>0</v>
      </c>
      <c r="R13" s="734">
        <v>0</v>
      </c>
      <c r="S13" s="733" t="s">
        <v>910</v>
      </c>
      <c r="T13" s="730">
        <v>0</v>
      </c>
      <c r="U13" s="734">
        <v>0</v>
      </c>
      <c r="V13" s="774">
        <f t="shared" si="0"/>
        <v>0</v>
      </c>
      <c r="W13" s="771">
        <f t="shared" si="1"/>
        <v>0</v>
      </c>
    </row>
    <row r="14" spans="1:23" ht="26.25">
      <c r="A14" s="733" t="s">
        <v>745</v>
      </c>
      <c r="B14" s="730">
        <v>12085463438</v>
      </c>
      <c r="C14" s="734">
        <v>12367156323</v>
      </c>
      <c r="D14" s="733" t="s">
        <v>745</v>
      </c>
      <c r="E14" s="730">
        <v>28257845</v>
      </c>
      <c r="F14" s="734">
        <v>28014442</v>
      </c>
      <c r="G14" s="733" t="s">
        <v>745</v>
      </c>
      <c r="H14" s="730">
        <v>5246979</v>
      </c>
      <c r="I14" s="734">
        <v>7661267</v>
      </c>
      <c r="J14" s="733" t="s">
        <v>745</v>
      </c>
      <c r="K14" s="730">
        <v>26932201</v>
      </c>
      <c r="L14" s="734">
        <v>22973489</v>
      </c>
      <c r="M14" s="733" t="s">
        <v>745</v>
      </c>
      <c r="N14" s="730">
        <v>100000</v>
      </c>
      <c r="O14" s="734">
        <v>992307</v>
      </c>
      <c r="P14" s="733" t="s">
        <v>745</v>
      </c>
      <c r="Q14" s="730">
        <v>0</v>
      </c>
      <c r="R14" s="734">
        <v>0</v>
      </c>
      <c r="S14" s="733" t="s">
        <v>745</v>
      </c>
      <c r="T14" s="730">
        <v>0</v>
      </c>
      <c r="U14" s="734">
        <v>0</v>
      </c>
      <c r="V14" s="774">
        <f t="shared" si="0"/>
        <v>12146000463</v>
      </c>
      <c r="W14" s="771">
        <f t="shared" si="1"/>
        <v>12426797828</v>
      </c>
    </row>
    <row r="15" spans="1:23" ht="12.75">
      <c r="A15" s="731" t="s">
        <v>746</v>
      </c>
      <c r="B15" s="729">
        <v>0</v>
      </c>
      <c r="C15" s="732">
        <v>0</v>
      </c>
      <c r="D15" s="731" t="s">
        <v>746</v>
      </c>
      <c r="E15" s="729">
        <v>0</v>
      </c>
      <c r="F15" s="732">
        <v>0</v>
      </c>
      <c r="G15" s="731" t="s">
        <v>746</v>
      </c>
      <c r="H15" s="729">
        <v>0</v>
      </c>
      <c r="I15" s="732">
        <v>0</v>
      </c>
      <c r="J15" s="731" t="s">
        <v>746</v>
      </c>
      <c r="K15" s="729">
        <v>1876683</v>
      </c>
      <c r="L15" s="732">
        <v>1718945</v>
      </c>
      <c r="M15" s="731" t="s">
        <v>746</v>
      </c>
      <c r="N15" s="729">
        <v>0</v>
      </c>
      <c r="O15" s="732">
        <v>0</v>
      </c>
      <c r="P15" s="731" t="s">
        <v>746</v>
      </c>
      <c r="Q15" s="729">
        <v>0</v>
      </c>
      <c r="R15" s="732">
        <v>0</v>
      </c>
      <c r="S15" s="731" t="s">
        <v>746</v>
      </c>
      <c r="T15" s="729">
        <v>0</v>
      </c>
      <c r="U15" s="732">
        <v>0</v>
      </c>
      <c r="V15" s="773">
        <f t="shared" si="0"/>
        <v>1876683</v>
      </c>
      <c r="W15" s="770">
        <f t="shared" si="1"/>
        <v>1718945</v>
      </c>
    </row>
    <row r="16" spans="1:23" ht="26.25">
      <c r="A16" s="731" t="s">
        <v>747</v>
      </c>
      <c r="B16" s="729">
        <v>46839</v>
      </c>
      <c r="C16" s="732">
        <v>637411</v>
      </c>
      <c r="D16" s="731" t="s">
        <v>747</v>
      </c>
      <c r="E16" s="729">
        <v>0</v>
      </c>
      <c r="F16" s="732">
        <v>0</v>
      </c>
      <c r="G16" s="731" t="s">
        <v>747</v>
      </c>
      <c r="H16" s="729">
        <v>0</v>
      </c>
      <c r="I16" s="732">
        <v>0</v>
      </c>
      <c r="J16" s="731" t="s">
        <v>747</v>
      </c>
      <c r="K16" s="729">
        <v>0</v>
      </c>
      <c r="L16" s="732">
        <v>0</v>
      </c>
      <c r="M16" s="731" t="s">
        <v>747</v>
      </c>
      <c r="N16" s="729">
        <v>0</v>
      </c>
      <c r="O16" s="732">
        <v>0</v>
      </c>
      <c r="P16" s="731" t="s">
        <v>747</v>
      </c>
      <c r="Q16" s="729">
        <v>0</v>
      </c>
      <c r="R16" s="732">
        <v>0</v>
      </c>
      <c r="S16" s="731" t="s">
        <v>747</v>
      </c>
      <c r="T16" s="729">
        <v>0</v>
      </c>
      <c r="U16" s="732">
        <v>0</v>
      </c>
      <c r="V16" s="773">
        <f t="shared" si="0"/>
        <v>46839</v>
      </c>
      <c r="W16" s="770">
        <f t="shared" si="1"/>
        <v>637411</v>
      </c>
    </row>
    <row r="17" spans="1:23" ht="12.75">
      <c r="A17" s="733" t="s">
        <v>748</v>
      </c>
      <c r="B17" s="730">
        <v>46839</v>
      </c>
      <c r="C17" s="734">
        <v>637411</v>
      </c>
      <c r="D17" s="733" t="s">
        <v>748</v>
      </c>
      <c r="E17" s="730">
        <v>0</v>
      </c>
      <c r="F17" s="734">
        <v>0</v>
      </c>
      <c r="G17" s="733" t="s">
        <v>748</v>
      </c>
      <c r="H17" s="730">
        <v>0</v>
      </c>
      <c r="I17" s="734">
        <v>0</v>
      </c>
      <c r="J17" s="733" t="s">
        <v>748</v>
      </c>
      <c r="K17" s="730">
        <v>1876683</v>
      </c>
      <c r="L17" s="734">
        <v>1718945</v>
      </c>
      <c r="M17" s="733" t="s">
        <v>748</v>
      </c>
      <c r="N17" s="730">
        <v>0</v>
      </c>
      <c r="O17" s="734">
        <v>0</v>
      </c>
      <c r="P17" s="733" t="s">
        <v>748</v>
      </c>
      <c r="Q17" s="730">
        <v>0</v>
      </c>
      <c r="R17" s="734">
        <v>0</v>
      </c>
      <c r="S17" s="733" t="s">
        <v>748</v>
      </c>
      <c r="T17" s="730">
        <v>0</v>
      </c>
      <c r="U17" s="734">
        <v>0</v>
      </c>
      <c r="V17" s="774">
        <f t="shared" si="0"/>
        <v>1923522</v>
      </c>
      <c r="W17" s="771">
        <f t="shared" si="1"/>
        <v>2356356</v>
      </c>
    </row>
    <row r="18" spans="1:23" ht="12.75">
      <c r="A18" s="733" t="s">
        <v>911</v>
      </c>
      <c r="B18" s="730">
        <v>0</v>
      </c>
      <c r="C18" s="734">
        <v>0</v>
      </c>
      <c r="D18" s="733" t="s">
        <v>911</v>
      </c>
      <c r="E18" s="730">
        <v>0</v>
      </c>
      <c r="F18" s="734">
        <v>0</v>
      </c>
      <c r="G18" s="733" t="s">
        <v>911</v>
      </c>
      <c r="H18" s="730">
        <v>0</v>
      </c>
      <c r="I18" s="734">
        <v>0</v>
      </c>
      <c r="J18" s="733" t="s">
        <v>911</v>
      </c>
      <c r="K18" s="730">
        <v>0</v>
      </c>
      <c r="L18" s="734">
        <v>0</v>
      </c>
      <c r="M18" s="733" t="s">
        <v>911</v>
      </c>
      <c r="N18" s="730">
        <v>0</v>
      </c>
      <c r="O18" s="734">
        <v>0</v>
      </c>
      <c r="P18" s="733" t="s">
        <v>911</v>
      </c>
      <c r="Q18" s="730">
        <v>0</v>
      </c>
      <c r="R18" s="734">
        <v>0</v>
      </c>
      <c r="S18" s="733" t="s">
        <v>911</v>
      </c>
      <c r="T18" s="730">
        <v>0</v>
      </c>
      <c r="U18" s="734">
        <v>0</v>
      </c>
      <c r="V18" s="774">
        <f t="shared" si="0"/>
        <v>0</v>
      </c>
      <c r="W18" s="771">
        <f t="shared" si="1"/>
        <v>0</v>
      </c>
    </row>
    <row r="19" spans="1:23" ht="26.25">
      <c r="A19" s="733" t="s">
        <v>749</v>
      </c>
      <c r="B19" s="730">
        <v>46839</v>
      </c>
      <c r="C19" s="734">
        <v>637411</v>
      </c>
      <c r="D19" s="733" t="s">
        <v>749</v>
      </c>
      <c r="E19" s="730">
        <v>0</v>
      </c>
      <c r="F19" s="734">
        <v>0</v>
      </c>
      <c r="G19" s="733" t="s">
        <v>749</v>
      </c>
      <c r="H19" s="730">
        <v>0</v>
      </c>
      <c r="I19" s="734">
        <v>0</v>
      </c>
      <c r="J19" s="733" t="s">
        <v>749</v>
      </c>
      <c r="K19" s="730">
        <v>1876683</v>
      </c>
      <c r="L19" s="734">
        <v>1718945</v>
      </c>
      <c r="M19" s="733" t="s">
        <v>749</v>
      </c>
      <c r="N19" s="730">
        <v>0</v>
      </c>
      <c r="O19" s="734">
        <v>0</v>
      </c>
      <c r="P19" s="733" t="s">
        <v>749</v>
      </c>
      <c r="Q19" s="730">
        <v>0</v>
      </c>
      <c r="R19" s="734">
        <v>0</v>
      </c>
      <c r="S19" s="733" t="s">
        <v>749</v>
      </c>
      <c r="T19" s="730">
        <v>0</v>
      </c>
      <c r="U19" s="734">
        <v>0</v>
      </c>
      <c r="V19" s="774">
        <f t="shared" si="0"/>
        <v>1923522</v>
      </c>
      <c r="W19" s="771">
        <f t="shared" si="1"/>
        <v>2356356</v>
      </c>
    </row>
    <row r="20" spans="1:23" ht="12.75">
      <c r="A20" s="733" t="s">
        <v>912</v>
      </c>
      <c r="B20" s="730">
        <v>0</v>
      </c>
      <c r="C20" s="734">
        <v>0</v>
      </c>
      <c r="D20" s="733" t="s">
        <v>912</v>
      </c>
      <c r="E20" s="730">
        <v>0</v>
      </c>
      <c r="F20" s="734">
        <v>0</v>
      </c>
      <c r="G20" s="733" t="s">
        <v>912</v>
      </c>
      <c r="H20" s="730">
        <v>0</v>
      </c>
      <c r="I20" s="734">
        <v>0</v>
      </c>
      <c r="J20" s="733" t="s">
        <v>912</v>
      </c>
      <c r="K20" s="730">
        <v>0</v>
      </c>
      <c r="L20" s="734">
        <v>0</v>
      </c>
      <c r="M20" s="733" t="s">
        <v>912</v>
      </c>
      <c r="N20" s="730">
        <v>0</v>
      </c>
      <c r="O20" s="734">
        <v>0</v>
      </c>
      <c r="P20" s="733" t="s">
        <v>912</v>
      </c>
      <c r="Q20" s="730">
        <v>0</v>
      </c>
      <c r="R20" s="734">
        <v>0</v>
      </c>
      <c r="S20" s="733" t="s">
        <v>912</v>
      </c>
      <c r="T20" s="730">
        <v>0</v>
      </c>
      <c r="U20" s="734">
        <v>0</v>
      </c>
      <c r="V20" s="774">
        <f t="shared" si="0"/>
        <v>0</v>
      </c>
      <c r="W20" s="771">
        <f t="shared" si="1"/>
        <v>0</v>
      </c>
    </row>
    <row r="21" spans="1:23" ht="12.75">
      <c r="A21" s="731" t="s">
        <v>750</v>
      </c>
      <c r="B21" s="729">
        <v>291920</v>
      </c>
      <c r="C21" s="732">
        <v>298455</v>
      </c>
      <c r="D21" s="731" t="s">
        <v>750</v>
      </c>
      <c r="E21" s="729">
        <v>2050</v>
      </c>
      <c r="F21" s="732">
        <v>54260</v>
      </c>
      <c r="G21" s="731" t="s">
        <v>750</v>
      </c>
      <c r="H21" s="729">
        <v>3185</v>
      </c>
      <c r="I21" s="732">
        <v>3890</v>
      </c>
      <c r="J21" s="731" t="s">
        <v>750</v>
      </c>
      <c r="K21" s="729">
        <v>549720</v>
      </c>
      <c r="L21" s="732">
        <v>260005</v>
      </c>
      <c r="M21" s="731" t="s">
        <v>750</v>
      </c>
      <c r="N21" s="729">
        <v>83010</v>
      </c>
      <c r="O21" s="732">
        <v>106265</v>
      </c>
      <c r="P21" s="731" t="s">
        <v>750</v>
      </c>
      <c r="Q21" s="729">
        <v>54320</v>
      </c>
      <c r="R21" s="732">
        <v>140915</v>
      </c>
      <c r="S21" s="731" t="s">
        <v>750</v>
      </c>
      <c r="T21" s="729">
        <v>0</v>
      </c>
      <c r="U21" s="732">
        <v>0</v>
      </c>
      <c r="V21" s="773">
        <f t="shared" si="0"/>
        <v>984205</v>
      </c>
      <c r="W21" s="770">
        <f t="shared" si="1"/>
        <v>863790</v>
      </c>
    </row>
    <row r="22" spans="1:23" ht="12.75">
      <c r="A22" s="731" t="s">
        <v>751</v>
      </c>
      <c r="B22" s="729">
        <v>0</v>
      </c>
      <c r="C22" s="732">
        <v>0</v>
      </c>
      <c r="D22" s="731" t="s">
        <v>751</v>
      </c>
      <c r="E22" s="729">
        <v>84420</v>
      </c>
      <c r="F22" s="732">
        <v>89900</v>
      </c>
      <c r="G22" s="731" t="s">
        <v>751</v>
      </c>
      <c r="H22" s="729">
        <v>0</v>
      </c>
      <c r="I22" s="732">
        <v>0</v>
      </c>
      <c r="J22" s="731" t="s">
        <v>751</v>
      </c>
      <c r="K22" s="729">
        <v>0</v>
      </c>
      <c r="L22" s="732">
        <v>0</v>
      </c>
      <c r="M22" s="731" t="s">
        <v>751</v>
      </c>
      <c r="N22" s="729">
        <v>0</v>
      </c>
      <c r="O22" s="732">
        <v>0</v>
      </c>
      <c r="P22" s="731" t="s">
        <v>751</v>
      </c>
      <c r="Q22" s="729">
        <v>0</v>
      </c>
      <c r="R22" s="732">
        <v>0</v>
      </c>
      <c r="S22" s="731" t="s">
        <v>751</v>
      </c>
      <c r="T22" s="729">
        <v>0</v>
      </c>
      <c r="U22" s="732">
        <v>0</v>
      </c>
      <c r="V22" s="773">
        <f t="shared" si="0"/>
        <v>84420</v>
      </c>
      <c r="W22" s="770">
        <f t="shared" si="1"/>
        <v>89900</v>
      </c>
    </row>
    <row r="23" spans="1:23" ht="26.25">
      <c r="A23" s="731" t="s">
        <v>913</v>
      </c>
      <c r="B23" s="729">
        <v>0</v>
      </c>
      <c r="C23" s="732">
        <v>0</v>
      </c>
      <c r="D23" s="731" t="s">
        <v>913</v>
      </c>
      <c r="E23" s="729">
        <v>0</v>
      </c>
      <c r="F23" s="732">
        <v>0</v>
      </c>
      <c r="G23" s="731" t="s">
        <v>913</v>
      </c>
      <c r="H23" s="729">
        <v>0</v>
      </c>
      <c r="I23" s="732">
        <v>0</v>
      </c>
      <c r="J23" s="731" t="s">
        <v>913</v>
      </c>
      <c r="K23" s="729">
        <v>0</v>
      </c>
      <c r="L23" s="732">
        <v>0</v>
      </c>
      <c r="M23" s="731" t="s">
        <v>913</v>
      </c>
      <c r="N23" s="729">
        <v>0</v>
      </c>
      <c r="O23" s="732">
        <v>0</v>
      </c>
      <c r="P23" s="731" t="s">
        <v>913</v>
      </c>
      <c r="Q23" s="729">
        <v>0</v>
      </c>
      <c r="R23" s="732">
        <v>0</v>
      </c>
      <c r="S23" s="731" t="s">
        <v>913</v>
      </c>
      <c r="T23" s="729">
        <v>0</v>
      </c>
      <c r="U23" s="732">
        <v>0</v>
      </c>
      <c r="V23" s="773">
        <f t="shared" si="0"/>
        <v>0</v>
      </c>
      <c r="W23" s="770">
        <f t="shared" si="1"/>
        <v>0</v>
      </c>
    </row>
    <row r="24" spans="1:23" ht="26.25">
      <c r="A24" s="733" t="s">
        <v>752</v>
      </c>
      <c r="B24" s="730">
        <v>291920</v>
      </c>
      <c r="C24" s="734">
        <v>298455</v>
      </c>
      <c r="D24" s="733" t="s">
        <v>752</v>
      </c>
      <c r="E24" s="730">
        <v>86470</v>
      </c>
      <c r="F24" s="734">
        <v>144160</v>
      </c>
      <c r="G24" s="733" t="s">
        <v>752</v>
      </c>
      <c r="H24" s="730">
        <v>3185</v>
      </c>
      <c r="I24" s="734">
        <v>3890</v>
      </c>
      <c r="J24" s="733" t="s">
        <v>752</v>
      </c>
      <c r="K24" s="730">
        <v>549720</v>
      </c>
      <c r="L24" s="734">
        <v>260005</v>
      </c>
      <c r="M24" s="733" t="s">
        <v>752</v>
      </c>
      <c r="N24" s="730">
        <v>83010</v>
      </c>
      <c r="O24" s="734">
        <v>106265</v>
      </c>
      <c r="P24" s="733" t="s">
        <v>752</v>
      </c>
      <c r="Q24" s="730">
        <v>54320</v>
      </c>
      <c r="R24" s="734">
        <v>140915</v>
      </c>
      <c r="S24" s="733" t="s">
        <v>752</v>
      </c>
      <c r="T24" s="730">
        <v>0</v>
      </c>
      <c r="U24" s="734">
        <v>0</v>
      </c>
      <c r="V24" s="774">
        <f t="shared" si="0"/>
        <v>1068625</v>
      </c>
      <c r="W24" s="771">
        <f t="shared" si="1"/>
        <v>953690</v>
      </c>
    </row>
    <row r="25" spans="1:23" ht="12.75">
      <c r="A25" s="731" t="s">
        <v>753</v>
      </c>
      <c r="B25" s="729">
        <v>376437254</v>
      </c>
      <c r="C25" s="732">
        <v>716507090</v>
      </c>
      <c r="D25" s="731" t="s">
        <v>753</v>
      </c>
      <c r="E25" s="729">
        <v>5267107</v>
      </c>
      <c r="F25" s="732">
        <v>805557</v>
      </c>
      <c r="G25" s="731" t="s">
        <v>753</v>
      </c>
      <c r="H25" s="729">
        <v>858928</v>
      </c>
      <c r="I25" s="732">
        <v>2247071</v>
      </c>
      <c r="J25" s="731" t="s">
        <v>753</v>
      </c>
      <c r="K25" s="729">
        <v>8939491</v>
      </c>
      <c r="L25" s="732">
        <v>33864159</v>
      </c>
      <c r="M25" s="731" t="s">
        <v>753</v>
      </c>
      <c r="N25" s="729">
        <v>2299022</v>
      </c>
      <c r="O25" s="732">
        <v>19674827</v>
      </c>
      <c r="P25" s="731" t="s">
        <v>753</v>
      </c>
      <c r="Q25" s="729">
        <v>3655348</v>
      </c>
      <c r="R25" s="732">
        <v>302496</v>
      </c>
      <c r="S25" s="731" t="s">
        <v>753</v>
      </c>
      <c r="T25" s="729">
        <v>0</v>
      </c>
      <c r="U25" s="732">
        <v>240598</v>
      </c>
      <c r="V25" s="773">
        <f t="shared" si="0"/>
        <v>397457150</v>
      </c>
      <c r="W25" s="770">
        <f t="shared" si="1"/>
        <v>773641798</v>
      </c>
    </row>
    <row r="26" spans="1:23" ht="12.75">
      <c r="A26" s="731" t="s">
        <v>914</v>
      </c>
      <c r="B26" s="729">
        <v>349023812</v>
      </c>
      <c r="C26" s="732">
        <v>37051361</v>
      </c>
      <c r="D26" s="731" t="s">
        <v>914</v>
      </c>
      <c r="E26" s="729">
        <v>0</v>
      </c>
      <c r="F26" s="732">
        <v>0</v>
      </c>
      <c r="G26" s="731" t="s">
        <v>914</v>
      </c>
      <c r="H26" s="729">
        <v>0</v>
      </c>
      <c r="I26" s="732">
        <v>0</v>
      </c>
      <c r="J26" s="731" t="s">
        <v>914</v>
      </c>
      <c r="K26" s="729">
        <v>0</v>
      </c>
      <c r="L26" s="732">
        <v>0</v>
      </c>
      <c r="M26" s="731" t="s">
        <v>914</v>
      </c>
      <c r="N26" s="729">
        <v>0</v>
      </c>
      <c r="O26" s="732">
        <v>0</v>
      </c>
      <c r="P26" s="731" t="s">
        <v>914</v>
      </c>
      <c r="Q26" s="729">
        <v>0</v>
      </c>
      <c r="R26" s="732">
        <v>0</v>
      </c>
      <c r="S26" s="731" t="s">
        <v>914</v>
      </c>
      <c r="T26" s="729">
        <v>0</v>
      </c>
      <c r="U26" s="732">
        <v>0</v>
      </c>
      <c r="V26" s="773">
        <f t="shared" si="0"/>
        <v>349023812</v>
      </c>
      <c r="W26" s="770">
        <f t="shared" si="1"/>
        <v>37051361</v>
      </c>
    </row>
    <row r="27" spans="1:23" ht="12.75">
      <c r="A27" s="733" t="s">
        <v>754</v>
      </c>
      <c r="B27" s="730">
        <v>725461066</v>
      </c>
      <c r="C27" s="734">
        <v>753558451</v>
      </c>
      <c r="D27" s="733" t="s">
        <v>754</v>
      </c>
      <c r="E27" s="730">
        <v>5267107</v>
      </c>
      <c r="F27" s="734">
        <v>805557</v>
      </c>
      <c r="G27" s="733" t="s">
        <v>754</v>
      </c>
      <c r="H27" s="730">
        <v>858928</v>
      </c>
      <c r="I27" s="734">
        <v>2247071</v>
      </c>
      <c r="J27" s="733" t="s">
        <v>754</v>
      </c>
      <c r="K27" s="730">
        <v>8939491</v>
      </c>
      <c r="L27" s="734">
        <v>33864159</v>
      </c>
      <c r="M27" s="733" t="s">
        <v>754</v>
      </c>
      <c r="N27" s="730">
        <v>2299022</v>
      </c>
      <c r="O27" s="734">
        <v>19674827</v>
      </c>
      <c r="P27" s="733" t="s">
        <v>754</v>
      </c>
      <c r="Q27" s="730">
        <v>3655348</v>
      </c>
      <c r="R27" s="734">
        <v>302496</v>
      </c>
      <c r="S27" s="733" t="s">
        <v>754</v>
      </c>
      <c r="T27" s="730">
        <v>0</v>
      </c>
      <c r="U27" s="734">
        <v>240598</v>
      </c>
      <c r="V27" s="774">
        <f t="shared" si="0"/>
        <v>746480962</v>
      </c>
      <c r="W27" s="771">
        <f t="shared" si="1"/>
        <v>810693159</v>
      </c>
    </row>
    <row r="28" spans="1:23" ht="12.75">
      <c r="A28" s="731" t="s">
        <v>915</v>
      </c>
      <c r="B28" s="729">
        <v>0</v>
      </c>
      <c r="C28" s="732">
        <v>0</v>
      </c>
      <c r="D28" s="731" t="s">
        <v>915</v>
      </c>
      <c r="E28" s="729">
        <v>0</v>
      </c>
      <c r="F28" s="732">
        <v>0</v>
      </c>
      <c r="G28" s="731" t="s">
        <v>915</v>
      </c>
      <c r="H28" s="729">
        <v>0</v>
      </c>
      <c r="I28" s="732">
        <v>0</v>
      </c>
      <c r="J28" s="731" t="s">
        <v>915</v>
      </c>
      <c r="K28" s="729">
        <v>0</v>
      </c>
      <c r="L28" s="732">
        <v>0</v>
      </c>
      <c r="M28" s="731" t="s">
        <v>915</v>
      </c>
      <c r="N28" s="729">
        <v>0</v>
      </c>
      <c r="O28" s="732">
        <v>0</v>
      </c>
      <c r="P28" s="731" t="s">
        <v>915</v>
      </c>
      <c r="Q28" s="729">
        <v>0</v>
      </c>
      <c r="R28" s="732">
        <v>0</v>
      </c>
      <c r="S28" s="731" t="s">
        <v>915</v>
      </c>
      <c r="T28" s="729">
        <v>0</v>
      </c>
      <c r="U28" s="732">
        <v>0</v>
      </c>
      <c r="V28" s="773">
        <f t="shared" si="0"/>
        <v>0</v>
      </c>
      <c r="W28" s="770">
        <f t="shared" si="1"/>
        <v>0</v>
      </c>
    </row>
    <row r="29" spans="1:23" ht="12.75">
      <c r="A29" s="731" t="s">
        <v>916</v>
      </c>
      <c r="B29" s="729">
        <v>0</v>
      </c>
      <c r="C29" s="732">
        <v>0</v>
      </c>
      <c r="D29" s="731" t="s">
        <v>916</v>
      </c>
      <c r="E29" s="729">
        <v>0</v>
      </c>
      <c r="F29" s="732">
        <v>0</v>
      </c>
      <c r="G29" s="731" t="s">
        <v>916</v>
      </c>
      <c r="H29" s="729">
        <v>0</v>
      </c>
      <c r="I29" s="732">
        <v>0</v>
      </c>
      <c r="J29" s="731" t="s">
        <v>916</v>
      </c>
      <c r="K29" s="729">
        <v>0</v>
      </c>
      <c r="L29" s="732">
        <v>0</v>
      </c>
      <c r="M29" s="731" t="s">
        <v>916</v>
      </c>
      <c r="N29" s="729">
        <v>0</v>
      </c>
      <c r="O29" s="732">
        <v>0</v>
      </c>
      <c r="P29" s="731" t="s">
        <v>916</v>
      </c>
      <c r="Q29" s="729">
        <v>0</v>
      </c>
      <c r="R29" s="732">
        <v>0</v>
      </c>
      <c r="S29" s="731" t="s">
        <v>916</v>
      </c>
      <c r="T29" s="729">
        <v>0</v>
      </c>
      <c r="U29" s="732">
        <v>0</v>
      </c>
      <c r="V29" s="773">
        <f t="shared" si="0"/>
        <v>0</v>
      </c>
      <c r="W29" s="770">
        <f t="shared" si="1"/>
        <v>0</v>
      </c>
    </row>
    <row r="30" spans="1:23" ht="12.75">
      <c r="A30" s="733" t="s">
        <v>917</v>
      </c>
      <c r="B30" s="730">
        <v>0</v>
      </c>
      <c r="C30" s="734">
        <v>0</v>
      </c>
      <c r="D30" s="733" t="s">
        <v>917</v>
      </c>
      <c r="E30" s="730">
        <v>0</v>
      </c>
      <c r="F30" s="734">
        <v>0</v>
      </c>
      <c r="G30" s="733" t="s">
        <v>917</v>
      </c>
      <c r="H30" s="730">
        <v>0</v>
      </c>
      <c r="I30" s="734">
        <v>0</v>
      </c>
      <c r="J30" s="733" t="s">
        <v>917</v>
      </c>
      <c r="K30" s="730">
        <v>0</v>
      </c>
      <c r="L30" s="734">
        <v>0</v>
      </c>
      <c r="M30" s="733" t="s">
        <v>917</v>
      </c>
      <c r="N30" s="730">
        <v>0</v>
      </c>
      <c r="O30" s="734">
        <v>0</v>
      </c>
      <c r="P30" s="733" t="s">
        <v>917</v>
      </c>
      <c r="Q30" s="730">
        <v>0</v>
      </c>
      <c r="R30" s="734">
        <v>0</v>
      </c>
      <c r="S30" s="733" t="s">
        <v>917</v>
      </c>
      <c r="T30" s="730">
        <v>0</v>
      </c>
      <c r="U30" s="734">
        <v>0</v>
      </c>
      <c r="V30" s="773">
        <f t="shared" si="0"/>
        <v>0</v>
      </c>
      <c r="W30" s="770">
        <f t="shared" si="1"/>
        <v>0</v>
      </c>
    </row>
    <row r="31" spans="1:23" ht="12.75">
      <c r="A31" s="733" t="s">
        <v>755</v>
      </c>
      <c r="B31" s="730">
        <v>725752986</v>
      </c>
      <c r="C31" s="734">
        <v>753856906</v>
      </c>
      <c r="D31" s="733" t="s">
        <v>755</v>
      </c>
      <c r="E31" s="730">
        <v>5353577</v>
      </c>
      <c r="F31" s="734">
        <v>949717</v>
      </c>
      <c r="G31" s="733" t="s">
        <v>755</v>
      </c>
      <c r="H31" s="730">
        <v>862113</v>
      </c>
      <c r="I31" s="734">
        <v>2250961</v>
      </c>
      <c r="J31" s="733" t="s">
        <v>755</v>
      </c>
      <c r="K31" s="730">
        <v>9489211</v>
      </c>
      <c r="L31" s="734">
        <v>34124164</v>
      </c>
      <c r="M31" s="733" t="s">
        <v>755</v>
      </c>
      <c r="N31" s="730">
        <v>2382032</v>
      </c>
      <c r="O31" s="734">
        <v>19781092</v>
      </c>
      <c r="P31" s="733" t="s">
        <v>755</v>
      </c>
      <c r="Q31" s="730">
        <v>3709668</v>
      </c>
      <c r="R31" s="734">
        <v>443411</v>
      </c>
      <c r="S31" s="733" t="s">
        <v>755</v>
      </c>
      <c r="T31" s="730">
        <v>0</v>
      </c>
      <c r="U31" s="734">
        <v>240598</v>
      </c>
      <c r="V31" s="774">
        <f t="shared" si="0"/>
        <v>747549587</v>
      </c>
      <c r="W31" s="771">
        <f t="shared" si="1"/>
        <v>811646849</v>
      </c>
    </row>
    <row r="32" spans="1:23" ht="26.25">
      <c r="A32" s="731" t="s">
        <v>756</v>
      </c>
      <c r="B32" s="729">
        <v>77467343</v>
      </c>
      <c r="C32" s="732">
        <v>71484509</v>
      </c>
      <c r="D32" s="731" t="s">
        <v>756</v>
      </c>
      <c r="E32" s="729">
        <v>0</v>
      </c>
      <c r="F32" s="732">
        <v>0</v>
      </c>
      <c r="G32" s="731" t="s">
        <v>756</v>
      </c>
      <c r="H32" s="729">
        <v>0</v>
      </c>
      <c r="I32" s="732">
        <v>0</v>
      </c>
      <c r="J32" s="731" t="s">
        <v>756</v>
      </c>
      <c r="K32" s="729">
        <v>0</v>
      </c>
      <c r="L32" s="732">
        <v>0</v>
      </c>
      <c r="M32" s="731" t="s">
        <v>756</v>
      </c>
      <c r="N32" s="729">
        <v>0</v>
      </c>
      <c r="O32" s="732">
        <v>0</v>
      </c>
      <c r="P32" s="731" t="s">
        <v>756</v>
      </c>
      <c r="Q32" s="729">
        <v>0</v>
      </c>
      <c r="R32" s="732">
        <v>0</v>
      </c>
      <c r="S32" s="731" t="s">
        <v>756</v>
      </c>
      <c r="T32" s="729">
        <v>0</v>
      </c>
      <c r="U32" s="732">
        <v>0</v>
      </c>
      <c r="V32" s="773">
        <f t="shared" si="0"/>
        <v>77467343</v>
      </c>
      <c r="W32" s="770">
        <f t="shared" si="1"/>
        <v>71484509</v>
      </c>
    </row>
    <row r="33" spans="1:23" ht="26.25">
      <c r="A33" s="731" t="s">
        <v>757</v>
      </c>
      <c r="B33" s="729">
        <v>10640375</v>
      </c>
      <c r="C33" s="732">
        <v>12147656</v>
      </c>
      <c r="D33" s="731" t="s">
        <v>757</v>
      </c>
      <c r="E33" s="729">
        <v>0</v>
      </c>
      <c r="F33" s="732">
        <v>0</v>
      </c>
      <c r="G33" s="731" t="s">
        <v>757</v>
      </c>
      <c r="H33" s="729">
        <v>0</v>
      </c>
      <c r="I33" s="732">
        <v>0</v>
      </c>
      <c r="J33" s="731" t="s">
        <v>757</v>
      </c>
      <c r="K33" s="729">
        <v>0</v>
      </c>
      <c r="L33" s="732">
        <v>0</v>
      </c>
      <c r="M33" s="731" t="s">
        <v>757</v>
      </c>
      <c r="N33" s="729">
        <v>0</v>
      </c>
      <c r="O33" s="732">
        <v>0</v>
      </c>
      <c r="P33" s="731" t="s">
        <v>757</v>
      </c>
      <c r="Q33" s="729">
        <v>0</v>
      </c>
      <c r="R33" s="732">
        <v>0</v>
      </c>
      <c r="S33" s="731" t="s">
        <v>757</v>
      </c>
      <c r="T33" s="729">
        <v>0</v>
      </c>
      <c r="U33" s="732">
        <v>0</v>
      </c>
      <c r="V33" s="773">
        <f aca="true" t="shared" si="2" ref="V33:V51">B33+E33+H33+K33+N33+Q33+T33</f>
        <v>10640375</v>
      </c>
      <c r="W33" s="770">
        <f aca="true" t="shared" si="3" ref="W33:W51">C33+F33+I33+L33+O33+R33+U33</f>
        <v>12147656</v>
      </c>
    </row>
    <row r="34" spans="1:23" ht="26.25">
      <c r="A34" s="731" t="s">
        <v>758</v>
      </c>
      <c r="B34" s="729">
        <v>64684193</v>
      </c>
      <c r="C34" s="732">
        <v>55706367</v>
      </c>
      <c r="D34" s="731" t="s">
        <v>758</v>
      </c>
      <c r="E34" s="729">
        <v>0</v>
      </c>
      <c r="F34" s="732">
        <v>0</v>
      </c>
      <c r="G34" s="731" t="s">
        <v>758</v>
      </c>
      <c r="H34" s="729">
        <v>0</v>
      </c>
      <c r="I34" s="732">
        <v>0</v>
      </c>
      <c r="J34" s="731" t="s">
        <v>758</v>
      </c>
      <c r="K34" s="729">
        <v>0</v>
      </c>
      <c r="L34" s="732">
        <v>0</v>
      </c>
      <c r="M34" s="731" t="s">
        <v>758</v>
      </c>
      <c r="N34" s="729">
        <v>0</v>
      </c>
      <c r="O34" s="732">
        <v>0</v>
      </c>
      <c r="P34" s="731" t="s">
        <v>758</v>
      </c>
      <c r="Q34" s="729">
        <v>0</v>
      </c>
      <c r="R34" s="732">
        <v>0</v>
      </c>
      <c r="S34" s="731" t="s">
        <v>758</v>
      </c>
      <c r="T34" s="729">
        <v>0</v>
      </c>
      <c r="U34" s="732">
        <v>0</v>
      </c>
      <c r="V34" s="773">
        <f t="shared" si="2"/>
        <v>64684193</v>
      </c>
      <c r="W34" s="770">
        <f t="shared" si="3"/>
        <v>55706367</v>
      </c>
    </row>
    <row r="35" spans="1:23" ht="26.25">
      <c r="A35" s="731" t="s">
        <v>759</v>
      </c>
      <c r="B35" s="729">
        <v>2142775</v>
      </c>
      <c r="C35" s="732">
        <v>3630486</v>
      </c>
      <c r="D35" s="731" t="s">
        <v>759</v>
      </c>
      <c r="E35" s="729">
        <v>0</v>
      </c>
      <c r="F35" s="732">
        <v>0</v>
      </c>
      <c r="G35" s="731" t="s">
        <v>759</v>
      </c>
      <c r="H35" s="729">
        <v>0</v>
      </c>
      <c r="I35" s="732">
        <v>0</v>
      </c>
      <c r="J35" s="731" t="s">
        <v>759</v>
      </c>
      <c r="K35" s="729">
        <v>0</v>
      </c>
      <c r="L35" s="732">
        <v>0</v>
      </c>
      <c r="M35" s="731" t="s">
        <v>759</v>
      </c>
      <c r="N35" s="729">
        <v>0</v>
      </c>
      <c r="O35" s="732">
        <v>0</v>
      </c>
      <c r="P35" s="731" t="s">
        <v>759</v>
      </c>
      <c r="Q35" s="729">
        <v>0</v>
      </c>
      <c r="R35" s="732">
        <v>0</v>
      </c>
      <c r="S35" s="731" t="s">
        <v>759</v>
      </c>
      <c r="T35" s="729">
        <v>0</v>
      </c>
      <c r="U35" s="732">
        <v>0</v>
      </c>
      <c r="V35" s="773">
        <f t="shared" si="2"/>
        <v>2142775</v>
      </c>
      <c r="W35" s="770">
        <f t="shared" si="3"/>
        <v>3630486</v>
      </c>
    </row>
    <row r="36" spans="1:23" ht="26.25">
      <c r="A36" s="731" t="s">
        <v>760</v>
      </c>
      <c r="B36" s="729">
        <v>32795864</v>
      </c>
      <c r="C36" s="732">
        <v>47124485</v>
      </c>
      <c r="D36" s="731" t="s">
        <v>760</v>
      </c>
      <c r="E36" s="729">
        <v>81250</v>
      </c>
      <c r="F36" s="732">
        <v>75830</v>
      </c>
      <c r="G36" s="731" t="s">
        <v>760</v>
      </c>
      <c r="H36" s="729">
        <v>0</v>
      </c>
      <c r="I36" s="732">
        <v>0</v>
      </c>
      <c r="J36" s="731" t="s">
        <v>760</v>
      </c>
      <c r="K36" s="729">
        <v>6017349</v>
      </c>
      <c r="L36" s="732">
        <v>6642397</v>
      </c>
      <c r="M36" s="731" t="s">
        <v>760</v>
      </c>
      <c r="N36" s="729">
        <v>15510</v>
      </c>
      <c r="O36" s="732">
        <v>154</v>
      </c>
      <c r="P36" s="731" t="s">
        <v>760</v>
      </c>
      <c r="Q36" s="729">
        <v>0</v>
      </c>
      <c r="R36" s="732">
        <v>0</v>
      </c>
      <c r="S36" s="731" t="s">
        <v>760</v>
      </c>
      <c r="T36" s="729">
        <v>0</v>
      </c>
      <c r="U36" s="732">
        <v>0</v>
      </c>
      <c r="V36" s="773">
        <f t="shared" si="2"/>
        <v>38909973</v>
      </c>
      <c r="W36" s="770">
        <f t="shared" si="3"/>
        <v>53842866</v>
      </c>
    </row>
    <row r="37" spans="1:23" ht="52.5">
      <c r="A37" s="731" t="s">
        <v>761</v>
      </c>
      <c r="B37" s="729">
        <v>24857980</v>
      </c>
      <c r="C37" s="732">
        <v>36140360</v>
      </c>
      <c r="D37" s="731" t="s">
        <v>761</v>
      </c>
      <c r="E37" s="729">
        <v>0</v>
      </c>
      <c r="F37" s="732">
        <v>59278</v>
      </c>
      <c r="G37" s="731" t="s">
        <v>761</v>
      </c>
      <c r="H37" s="729">
        <v>0</v>
      </c>
      <c r="I37" s="732">
        <v>0</v>
      </c>
      <c r="J37" s="731" t="s">
        <v>761</v>
      </c>
      <c r="K37" s="729">
        <v>5131802</v>
      </c>
      <c r="L37" s="732">
        <v>4906443</v>
      </c>
      <c r="M37" s="731" t="s">
        <v>761</v>
      </c>
      <c r="N37" s="729">
        <v>12213</v>
      </c>
      <c r="O37" s="732">
        <v>0</v>
      </c>
      <c r="P37" s="731" t="s">
        <v>761</v>
      </c>
      <c r="Q37" s="729">
        <v>0</v>
      </c>
      <c r="R37" s="732">
        <v>0</v>
      </c>
      <c r="S37" s="731" t="s">
        <v>761</v>
      </c>
      <c r="T37" s="729">
        <v>0</v>
      </c>
      <c r="U37" s="732">
        <v>0</v>
      </c>
      <c r="V37" s="773">
        <f t="shared" si="2"/>
        <v>30001995</v>
      </c>
      <c r="W37" s="770">
        <f t="shared" si="3"/>
        <v>41106081</v>
      </c>
    </row>
    <row r="38" spans="1:23" ht="26.25">
      <c r="A38" s="731" t="s">
        <v>918</v>
      </c>
      <c r="B38" s="729">
        <v>0</v>
      </c>
      <c r="C38" s="732">
        <v>0</v>
      </c>
      <c r="D38" s="731" t="s">
        <v>918</v>
      </c>
      <c r="E38" s="729">
        <v>0</v>
      </c>
      <c r="F38" s="732">
        <v>0</v>
      </c>
      <c r="G38" s="731" t="s">
        <v>918</v>
      </c>
      <c r="H38" s="729">
        <v>0</v>
      </c>
      <c r="I38" s="732">
        <v>0</v>
      </c>
      <c r="J38" s="731" t="s">
        <v>918</v>
      </c>
      <c r="K38" s="729">
        <v>0</v>
      </c>
      <c r="L38" s="732">
        <v>649299</v>
      </c>
      <c r="M38" s="731" t="s">
        <v>918</v>
      </c>
      <c r="N38" s="729">
        <v>0</v>
      </c>
      <c r="O38" s="732">
        <v>0</v>
      </c>
      <c r="P38" s="731" t="s">
        <v>918</v>
      </c>
      <c r="Q38" s="729">
        <v>0</v>
      </c>
      <c r="R38" s="732">
        <v>0</v>
      </c>
      <c r="S38" s="731" t="s">
        <v>918</v>
      </c>
      <c r="T38" s="729">
        <v>0</v>
      </c>
      <c r="U38" s="732">
        <v>0</v>
      </c>
      <c r="V38" s="773">
        <f t="shared" si="2"/>
        <v>0</v>
      </c>
      <c r="W38" s="770">
        <f t="shared" si="3"/>
        <v>649299</v>
      </c>
    </row>
    <row r="39" spans="1:23" ht="26.25">
      <c r="A39" s="731" t="s">
        <v>762</v>
      </c>
      <c r="B39" s="729">
        <v>2182696</v>
      </c>
      <c r="C39" s="732">
        <v>5228937</v>
      </c>
      <c r="D39" s="731" t="s">
        <v>762</v>
      </c>
      <c r="E39" s="729">
        <v>0</v>
      </c>
      <c r="F39" s="732">
        <v>15302</v>
      </c>
      <c r="G39" s="731" t="s">
        <v>762</v>
      </c>
      <c r="H39" s="729">
        <v>0</v>
      </c>
      <c r="I39" s="732">
        <v>0</v>
      </c>
      <c r="J39" s="731" t="s">
        <v>762</v>
      </c>
      <c r="K39" s="729">
        <v>885547</v>
      </c>
      <c r="L39" s="732">
        <v>1086655</v>
      </c>
      <c r="M39" s="731" t="s">
        <v>762</v>
      </c>
      <c r="N39" s="729">
        <v>3297</v>
      </c>
      <c r="O39" s="732">
        <v>0</v>
      </c>
      <c r="P39" s="731" t="s">
        <v>762</v>
      </c>
      <c r="Q39" s="729">
        <v>0</v>
      </c>
      <c r="R39" s="732">
        <v>0</v>
      </c>
      <c r="S39" s="731" t="s">
        <v>762</v>
      </c>
      <c r="T39" s="729">
        <v>0</v>
      </c>
      <c r="U39" s="732">
        <v>0</v>
      </c>
      <c r="V39" s="773">
        <f t="shared" si="2"/>
        <v>3071540</v>
      </c>
      <c r="W39" s="770">
        <f t="shared" si="3"/>
        <v>6330894</v>
      </c>
    </row>
    <row r="40" spans="1:23" ht="26.25">
      <c r="A40" s="731" t="s">
        <v>763</v>
      </c>
      <c r="B40" s="729">
        <v>5755188</v>
      </c>
      <c r="C40" s="732">
        <v>5755188</v>
      </c>
      <c r="D40" s="731" t="s">
        <v>763</v>
      </c>
      <c r="E40" s="729">
        <v>0</v>
      </c>
      <c r="F40" s="732">
        <v>0</v>
      </c>
      <c r="G40" s="731" t="s">
        <v>763</v>
      </c>
      <c r="H40" s="729">
        <v>0</v>
      </c>
      <c r="I40" s="732">
        <v>0</v>
      </c>
      <c r="J40" s="731" t="s">
        <v>763</v>
      </c>
      <c r="K40" s="729">
        <v>0</v>
      </c>
      <c r="L40" s="732">
        <v>0</v>
      </c>
      <c r="M40" s="731" t="s">
        <v>763</v>
      </c>
      <c r="N40" s="729">
        <v>0</v>
      </c>
      <c r="O40" s="732">
        <v>0</v>
      </c>
      <c r="P40" s="731" t="s">
        <v>763</v>
      </c>
      <c r="Q40" s="729">
        <v>0</v>
      </c>
      <c r="R40" s="732">
        <v>0</v>
      </c>
      <c r="S40" s="731" t="s">
        <v>763</v>
      </c>
      <c r="T40" s="729">
        <v>0</v>
      </c>
      <c r="U40" s="732">
        <v>0</v>
      </c>
      <c r="V40" s="773">
        <f t="shared" si="2"/>
        <v>5755188</v>
      </c>
      <c r="W40" s="770">
        <f t="shared" si="3"/>
        <v>5755188</v>
      </c>
    </row>
    <row r="41" spans="1:23" ht="26.25">
      <c r="A41" s="731" t="s">
        <v>764</v>
      </c>
      <c r="B41" s="729">
        <v>0</v>
      </c>
      <c r="C41" s="732">
        <v>0</v>
      </c>
      <c r="D41" s="731" t="s">
        <v>764</v>
      </c>
      <c r="E41" s="729">
        <v>81250</v>
      </c>
      <c r="F41" s="732">
        <v>1250</v>
      </c>
      <c r="G41" s="731" t="s">
        <v>764</v>
      </c>
      <c r="H41" s="729">
        <v>0</v>
      </c>
      <c r="I41" s="732">
        <v>0</v>
      </c>
      <c r="J41" s="731" t="s">
        <v>764</v>
      </c>
      <c r="K41" s="729">
        <v>0</v>
      </c>
      <c r="L41" s="732">
        <v>0</v>
      </c>
      <c r="M41" s="731" t="s">
        <v>764</v>
      </c>
      <c r="N41" s="729">
        <v>0</v>
      </c>
      <c r="O41" s="732">
        <v>154</v>
      </c>
      <c r="P41" s="731" t="s">
        <v>764</v>
      </c>
      <c r="Q41" s="729">
        <v>0</v>
      </c>
      <c r="R41" s="732">
        <v>0</v>
      </c>
      <c r="S41" s="731" t="s">
        <v>764</v>
      </c>
      <c r="T41" s="729">
        <v>0</v>
      </c>
      <c r="U41" s="732">
        <v>0</v>
      </c>
      <c r="V41" s="773">
        <f t="shared" si="2"/>
        <v>81250</v>
      </c>
      <c r="W41" s="770">
        <f t="shared" si="3"/>
        <v>1404</v>
      </c>
    </row>
    <row r="42" spans="1:23" ht="26.25">
      <c r="A42" s="731" t="s">
        <v>765</v>
      </c>
      <c r="B42" s="729">
        <v>239355</v>
      </c>
      <c r="C42" s="732">
        <v>173721</v>
      </c>
      <c r="D42" s="731" t="s">
        <v>765</v>
      </c>
      <c r="E42" s="729">
        <v>0</v>
      </c>
      <c r="F42" s="732">
        <v>0</v>
      </c>
      <c r="G42" s="731" t="s">
        <v>765</v>
      </c>
      <c r="H42" s="729">
        <v>0</v>
      </c>
      <c r="I42" s="732">
        <v>0</v>
      </c>
      <c r="J42" s="731" t="s">
        <v>765</v>
      </c>
      <c r="K42" s="729">
        <v>0</v>
      </c>
      <c r="L42" s="732">
        <v>0</v>
      </c>
      <c r="M42" s="731" t="s">
        <v>765</v>
      </c>
      <c r="N42" s="729">
        <v>0</v>
      </c>
      <c r="O42" s="732">
        <v>0</v>
      </c>
      <c r="P42" s="731" t="s">
        <v>765</v>
      </c>
      <c r="Q42" s="729">
        <v>0</v>
      </c>
      <c r="R42" s="732">
        <v>0</v>
      </c>
      <c r="S42" s="731" t="s">
        <v>765</v>
      </c>
      <c r="T42" s="729">
        <v>0</v>
      </c>
      <c r="U42" s="732">
        <v>0</v>
      </c>
      <c r="V42" s="773">
        <f t="shared" si="2"/>
        <v>239355</v>
      </c>
      <c r="W42" s="770">
        <f t="shared" si="3"/>
        <v>173721</v>
      </c>
    </row>
    <row r="43" spans="1:23" ht="26.25">
      <c r="A43" s="731" t="s">
        <v>766</v>
      </c>
      <c r="B43" s="729">
        <v>239355</v>
      </c>
      <c r="C43" s="732">
        <v>173721</v>
      </c>
      <c r="D43" s="731" t="s">
        <v>766</v>
      </c>
      <c r="E43" s="729">
        <v>0</v>
      </c>
      <c r="F43" s="732">
        <v>0</v>
      </c>
      <c r="G43" s="731" t="s">
        <v>766</v>
      </c>
      <c r="H43" s="729">
        <v>0</v>
      </c>
      <c r="I43" s="732">
        <v>0</v>
      </c>
      <c r="J43" s="731" t="s">
        <v>766</v>
      </c>
      <c r="K43" s="729">
        <v>0</v>
      </c>
      <c r="L43" s="732">
        <v>0</v>
      </c>
      <c r="M43" s="731" t="s">
        <v>766</v>
      </c>
      <c r="N43" s="729">
        <v>0</v>
      </c>
      <c r="O43" s="732">
        <v>0</v>
      </c>
      <c r="P43" s="731" t="s">
        <v>766</v>
      </c>
      <c r="Q43" s="729">
        <v>0</v>
      </c>
      <c r="R43" s="732">
        <v>0</v>
      </c>
      <c r="S43" s="731" t="s">
        <v>766</v>
      </c>
      <c r="T43" s="729">
        <v>0</v>
      </c>
      <c r="U43" s="732">
        <v>0</v>
      </c>
      <c r="V43" s="773">
        <f t="shared" si="2"/>
        <v>239355</v>
      </c>
      <c r="W43" s="770">
        <f t="shared" si="3"/>
        <v>173721</v>
      </c>
    </row>
    <row r="44" spans="1:23" ht="39">
      <c r="A44" s="731" t="s">
        <v>767</v>
      </c>
      <c r="B44" s="729">
        <v>5000000</v>
      </c>
      <c r="C44" s="732">
        <v>5076200</v>
      </c>
      <c r="D44" s="731" t="s">
        <v>767</v>
      </c>
      <c r="E44" s="729">
        <v>0</v>
      </c>
      <c r="F44" s="732">
        <v>0</v>
      </c>
      <c r="G44" s="731" t="s">
        <v>767</v>
      </c>
      <c r="H44" s="729">
        <v>0</v>
      </c>
      <c r="I44" s="732">
        <v>0</v>
      </c>
      <c r="J44" s="731" t="s">
        <v>767</v>
      </c>
      <c r="K44" s="729">
        <v>0</v>
      </c>
      <c r="L44" s="732">
        <v>0</v>
      </c>
      <c r="M44" s="731" t="s">
        <v>767</v>
      </c>
      <c r="N44" s="729">
        <v>0</v>
      </c>
      <c r="O44" s="732">
        <v>0</v>
      </c>
      <c r="P44" s="731" t="s">
        <v>767</v>
      </c>
      <c r="Q44" s="729">
        <v>0</v>
      </c>
      <c r="R44" s="732">
        <v>0</v>
      </c>
      <c r="S44" s="731" t="s">
        <v>767</v>
      </c>
      <c r="T44" s="729">
        <v>0</v>
      </c>
      <c r="U44" s="732">
        <v>0</v>
      </c>
      <c r="V44" s="773">
        <f t="shared" si="2"/>
        <v>5000000</v>
      </c>
      <c r="W44" s="770">
        <f t="shared" si="3"/>
        <v>5076200</v>
      </c>
    </row>
    <row r="45" spans="1:23" ht="52.5">
      <c r="A45" s="731" t="s">
        <v>768</v>
      </c>
      <c r="B45" s="729">
        <v>5000000</v>
      </c>
      <c r="C45" s="732">
        <v>5076200</v>
      </c>
      <c r="D45" s="731" t="s">
        <v>768</v>
      </c>
      <c r="E45" s="729">
        <v>0</v>
      </c>
      <c r="F45" s="732">
        <v>0</v>
      </c>
      <c r="G45" s="731" t="s">
        <v>768</v>
      </c>
      <c r="H45" s="729">
        <v>0</v>
      </c>
      <c r="I45" s="732">
        <v>0</v>
      </c>
      <c r="J45" s="731" t="s">
        <v>768</v>
      </c>
      <c r="K45" s="729">
        <v>0</v>
      </c>
      <c r="L45" s="732">
        <v>0</v>
      </c>
      <c r="M45" s="731" t="s">
        <v>768</v>
      </c>
      <c r="N45" s="729">
        <v>0</v>
      </c>
      <c r="O45" s="732">
        <v>0</v>
      </c>
      <c r="P45" s="731" t="s">
        <v>768</v>
      </c>
      <c r="Q45" s="729">
        <v>0</v>
      </c>
      <c r="R45" s="732">
        <v>0</v>
      </c>
      <c r="S45" s="731" t="s">
        <v>768</v>
      </c>
      <c r="T45" s="729">
        <v>0</v>
      </c>
      <c r="U45" s="732">
        <v>0</v>
      </c>
      <c r="V45" s="773">
        <f t="shared" si="2"/>
        <v>5000000</v>
      </c>
      <c r="W45" s="770">
        <f t="shared" si="3"/>
        <v>5076200</v>
      </c>
    </row>
    <row r="46" spans="1:23" ht="39">
      <c r="A46" s="731" t="s">
        <v>769</v>
      </c>
      <c r="B46" s="729">
        <v>3440643</v>
      </c>
      <c r="C46" s="732">
        <v>3440643</v>
      </c>
      <c r="D46" s="731" t="s">
        <v>769</v>
      </c>
      <c r="E46" s="729">
        <v>0</v>
      </c>
      <c r="F46" s="732">
        <v>0</v>
      </c>
      <c r="G46" s="731" t="s">
        <v>769</v>
      </c>
      <c r="H46" s="729">
        <v>0</v>
      </c>
      <c r="I46" s="732">
        <v>0</v>
      </c>
      <c r="J46" s="731" t="s">
        <v>769</v>
      </c>
      <c r="K46" s="729">
        <v>0</v>
      </c>
      <c r="L46" s="732">
        <v>0</v>
      </c>
      <c r="M46" s="731" t="s">
        <v>769</v>
      </c>
      <c r="N46" s="729">
        <v>0</v>
      </c>
      <c r="O46" s="732">
        <v>0</v>
      </c>
      <c r="P46" s="731" t="s">
        <v>769</v>
      </c>
      <c r="Q46" s="729">
        <v>0</v>
      </c>
      <c r="R46" s="732">
        <v>0</v>
      </c>
      <c r="S46" s="731" t="s">
        <v>769</v>
      </c>
      <c r="T46" s="729">
        <v>0</v>
      </c>
      <c r="U46" s="732">
        <v>0</v>
      </c>
      <c r="V46" s="773">
        <f t="shared" si="2"/>
        <v>3440643</v>
      </c>
      <c r="W46" s="770">
        <f t="shared" si="3"/>
        <v>3440643</v>
      </c>
    </row>
    <row r="47" spans="1:23" ht="52.5">
      <c r="A47" s="731" t="s">
        <v>770</v>
      </c>
      <c r="B47" s="729">
        <v>3440643</v>
      </c>
      <c r="C47" s="732">
        <v>3440643</v>
      </c>
      <c r="D47" s="731" t="s">
        <v>770</v>
      </c>
      <c r="E47" s="729">
        <v>0</v>
      </c>
      <c r="F47" s="732">
        <v>0</v>
      </c>
      <c r="G47" s="731" t="s">
        <v>770</v>
      </c>
      <c r="H47" s="729">
        <v>0</v>
      </c>
      <c r="I47" s="732">
        <v>0</v>
      </c>
      <c r="J47" s="731" t="s">
        <v>770</v>
      </c>
      <c r="K47" s="729">
        <v>0</v>
      </c>
      <c r="L47" s="732">
        <v>0</v>
      </c>
      <c r="M47" s="731" t="s">
        <v>770</v>
      </c>
      <c r="N47" s="729">
        <v>0</v>
      </c>
      <c r="O47" s="732">
        <v>0</v>
      </c>
      <c r="P47" s="731" t="s">
        <v>770</v>
      </c>
      <c r="Q47" s="729">
        <v>0</v>
      </c>
      <c r="R47" s="732">
        <v>0</v>
      </c>
      <c r="S47" s="731" t="s">
        <v>770</v>
      </c>
      <c r="T47" s="729">
        <v>0</v>
      </c>
      <c r="U47" s="732">
        <v>0</v>
      </c>
      <c r="V47" s="773">
        <f t="shared" si="2"/>
        <v>3440643</v>
      </c>
      <c r="W47" s="770">
        <f t="shared" si="3"/>
        <v>3440643</v>
      </c>
    </row>
    <row r="48" spans="1:23" ht="26.25">
      <c r="A48" s="733" t="s">
        <v>771</v>
      </c>
      <c r="B48" s="730">
        <v>118943205</v>
      </c>
      <c r="C48" s="734">
        <v>127299558</v>
      </c>
      <c r="D48" s="733" t="s">
        <v>771</v>
      </c>
      <c r="E48" s="730">
        <v>81250</v>
      </c>
      <c r="F48" s="734">
        <v>75830</v>
      </c>
      <c r="G48" s="733" t="s">
        <v>771</v>
      </c>
      <c r="H48" s="730">
        <v>0</v>
      </c>
      <c r="I48" s="734">
        <v>0</v>
      </c>
      <c r="J48" s="733" t="s">
        <v>771</v>
      </c>
      <c r="K48" s="730">
        <v>6017349</v>
      </c>
      <c r="L48" s="734">
        <v>6642397</v>
      </c>
      <c r="M48" s="733" t="s">
        <v>771</v>
      </c>
      <c r="N48" s="730">
        <v>15510</v>
      </c>
      <c r="O48" s="734">
        <v>154</v>
      </c>
      <c r="P48" s="733" t="s">
        <v>771</v>
      </c>
      <c r="Q48" s="730">
        <v>0</v>
      </c>
      <c r="R48" s="734">
        <v>0</v>
      </c>
      <c r="S48" s="733" t="s">
        <v>771</v>
      </c>
      <c r="T48" s="730">
        <v>0</v>
      </c>
      <c r="U48" s="734">
        <v>0</v>
      </c>
      <c r="V48" s="774">
        <f t="shared" si="2"/>
        <v>125057314</v>
      </c>
      <c r="W48" s="771">
        <f t="shared" si="3"/>
        <v>134017939</v>
      </c>
    </row>
    <row r="49" spans="1:23" ht="39">
      <c r="A49" s="731" t="s">
        <v>772</v>
      </c>
      <c r="B49" s="729">
        <v>2329627</v>
      </c>
      <c r="C49" s="732">
        <v>0</v>
      </c>
      <c r="D49" s="731" t="s">
        <v>772</v>
      </c>
      <c r="E49" s="729">
        <v>89569</v>
      </c>
      <c r="F49" s="732">
        <v>146017</v>
      </c>
      <c r="G49" s="731" t="s">
        <v>772</v>
      </c>
      <c r="H49" s="729">
        <v>0</v>
      </c>
      <c r="I49" s="732">
        <v>0</v>
      </c>
      <c r="J49" s="731" t="s">
        <v>772</v>
      </c>
      <c r="K49" s="729">
        <v>0</v>
      </c>
      <c r="L49" s="732">
        <v>33331</v>
      </c>
      <c r="M49" s="731" t="s">
        <v>772</v>
      </c>
      <c r="N49" s="729">
        <v>0</v>
      </c>
      <c r="O49" s="732">
        <v>0</v>
      </c>
      <c r="P49" s="731" t="s">
        <v>772</v>
      </c>
      <c r="Q49" s="729">
        <v>0</v>
      </c>
      <c r="R49" s="732">
        <v>0</v>
      </c>
      <c r="S49" s="731" t="s">
        <v>772</v>
      </c>
      <c r="T49" s="729">
        <v>0</v>
      </c>
      <c r="U49" s="732">
        <v>0</v>
      </c>
      <c r="V49" s="773">
        <f t="shared" si="2"/>
        <v>2419196</v>
      </c>
      <c r="W49" s="770">
        <f t="shared" si="3"/>
        <v>179348</v>
      </c>
    </row>
    <row r="50" spans="1:23" ht="52.5">
      <c r="A50" s="731" t="s">
        <v>773</v>
      </c>
      <c r="B50" s="729">
        <v>1834351</v>
      </c>
      <c r="C50" s="732">
        <v>0</v>
      </c>
      <c r="D50" s="731" t="s">
        <v>773</v>
      </c>
      <c r="E50" s="729">
        <v>70527</v>
      </c>
      <c r="F50" s="732">
        <v>115564</v>
      </c>
      <c r="G50" s="731" t="s">
        <v>773</v>
      </c>
      <c r="H50" s="729">
        <v>0</v>
      </c>
      <c r="I50" s="732">
        <v>0</v>
      </c>
      <c r="J50" s="731" t="s">
        <v>773</v>
      </c>
      <c r="K50" s="729">
        <v>0</v>
      </c>
      <c r="L50" s="732">
        <v>26869</v>
      </c>
      <c r="M50" s="731" t="s">
        <v>773</v>
      </c>
      <c r="N50" s="729">
        <v>0</v>
      </c>
      <c r="O50" s="732">
        <v>0</v>
      </c>
      <c r="P50" s="731" t="s">
        <v>773</v>
      </c>
      <c r="Q50" s="729">
        <v>0</v>
      </c>
      <c r="R50" s="732">
        <v>0</v>
      </c>
      <c r="S50" s="731" t="s">
        <v>773</v>
      </c>
      <c r="T50" s="729">
        <v>0</v>
      </c>
      <c r="U50" s="732">
        <v>0</v>
      </c>
      <c r="V50" s="773">
        <f t="shared" si="2"/>
        <v>1904878</v>
      </c>
      <c r="W50" s="770">
        <f t="shared" si="3"/>
        <v>142433</v>
      </c>
    </row>
    <row r="51" spans="1:23" ht="39">
      <c r="A51" s="731" t="s">
        <v>774</v>
      </c>
      <c r="B51" s="729">
        <v>495276</v>
      </c>
      <c r="C51" s="732">
        <v>0</v>
      </c>
      <c r="D51" s="731" t="s">
        <v>774</v>
      </c>
      <c r="E51" s="729">
        <v>19042</v>
      </c>
      <c r="F51" s="732">
        <v>30453</v>
      </c>
      <c r="G51" s="731" t="s">
        <v>774</v>
      </c>
      <c r="H51" s="729">
        <v>0</v>
      </c>
      <c r="I51" s="732">
        <v>0</v>
      </c>
      <c r="J51" s="731" t="s">
        <v>774</v>
      </c>
      <c r="K51" s="729">
        <v>0</v>
      </c>
      <c r="L51" s="732">
        <v>6462</v>
      </c>
      <c r="M51" s="731" t="s">
        <v>774</v>
      </c>
      <c r="N51" s="729">
        <v>0</v>
      </c>
      <c r="O51" s="732">
        <v>0</v>
      </c>
      <c r="P51" s="731" t="s">
        <v>774</v>
      </c>
      <c r="Q51" s="729">
        <v>0</v>
      </c>
      <c r="R51" s="732">
        <v>0</v>
      </c>
      <c r="S51" s="731" t="s">
        <v>774</v>
      </c>
      <c r="T51" s="729">
        <v>0</v>
      </c>
      <c r="U51" s="732">
        <v>0</v>
      </c>
      <c r="V51" s="773">
        <f t="shared" si="2"/>
        <v>514318</v>
      </c>
      <c r="W51" s="770">
        <f t="shared" si="3"/>
        <v>36915</v>
      </c>
    </row>
    <row r="52" spans="1:23" ht="26.25">
      <c r="A52" s="733" t="s">
        <v>775</v>
      </c>
      <c r="B52" s="730">
        <v>2329627</v>
      </c>
      <c r="C52" s="734">
        <v>0</v>
      </c>
      <c r="D52" s="733" t="s">
        <v>775</v>
      </c>
      <c r="E52" s="730">
        <v>89569</v>
      </c>
      <c r="F52" s="734">
        <v>146017</v>
      </c>
      <c r="G52" s="733" t="s">
        <v>775</v>
      </c>
      <c r="H52" s="730">
        <v>0</v>
      </c>
      <c r="I52" s="734">
        <v>0</v>
      </c>
      <c r="J52" s="733" t="s">
        <v>775</v>
      </c>
      <c r="K52" s="730">
        <v>0</v>
      </c>
      <c r="L52" s="734">
        <v>33331</v>
      </c>
      <c r="M52" s="733" t="s">
        <v>775</v>
      </c>
      <c r="N52" s="730">
        <v>0</v>
      </c>
      <c r="O52" s="734">
        <v>0</v>
      </c>
      <c r="P52" s="733" t="s">
        <v>775</v>
      </c>
      <c r="Q52" s="730">
        <v>0</v>
      </c>
      <c r="R52" s="734">
        <v>0</v>
      </c>
      <c r="S52" s="733" t="s">
        <v>775</v>
      </c>
      <c r="T52" s="730">
        <v>0</v>
      </c>
      <c r="U52" s="734">
        <v>0</v>
      </c>
      <c r="V52" s="774">
        <f aca="true" t="shared" si="4" ref="V52:V85">B52+E52+H52+K52+N52+Q52+T52</f>
        <v>2419196</v>
      </c>
      <c r="W52" s="771">
        <f aca="true" t="shared" si="5" ref="W52:W85">C52+F52+I52+L52+O52+R52+U52</f>
        <v>179348</v>
      </c>
    </row>
    <row r="53" spans="1:23" ht="12.75">
      <c r="A53" s="731" t="s">
        <v>776</v>
      </c>
      <c r="B53" s="729">
        <v>19651831</v>
      </c>
      <c r="C53" s="732">
        <v>42880910</v>
      </c>
      <c r="D53" s="731" t="s">
        <v>776</v>
      </c>
      <c r="E53" s="729">
        <v>0</v>
      </c>
      <c r="F53" s="732">
        <v>736959</v>
      </c>
      <c r="G53" s="731" t="s">
        <v>776</v>
      </c>
      <c r="H53" s="729">
        <v>353314</v>
      </c>
      <c r="I53" s="732">
        <v>383356</v>
      </c>
      <c r="J53" s="731" t="s">
        <v>776</v>
      </c>
      <c r="K53" s="729">
        <v>6330008</v>
      </c>
      <c r="L53" s="732">
        <v>5477451</v>
      </c>
      <c r="M53" s="731" t="s">
        <v>776</v>
      </c>
      <c r="N53" s="729">
        <v>109045</v>
      </c>
      <c r="O53" s="732">
        <v>754164</v>
      </c>
      <c r="P53" s="731" t="s">
        <v>776</v>
      </c>
      <c r="Q53" s="729">
        <v>5051576</v>
      </c>
      <c r="R53" s="732">
        <v>3735985</v>
      </c>
      <c r="S53" s="731" t="s">
        <v>776</v>
      </c>
      <c r="T53" s="729">
        <v>0</v>
      </c>
      <c r="U53" s="732">
        <v>0</v>
      </c>
      <c r="V53" s="773">
        <f t="shared" si="4"/>
        <v>31495774</v>
      </c>
      <c r="W53" s="770">
        <f t="shared" si="5"/>
        <v>53968825</v>
      </c>
    </row>
    <row r="54" spans="1:23" ht="26.25">
      <c r="A54" s="731" t="s">
        <v>777</v>
      </c>
      <c r="B54" s="729">
        <v>13500000</v>
      </c>
      <c r="C54" s="732">
        <v>13500000</v>
      </c>
      <c r="D54" s="731" t="s">
        <v>777</v>
      </c>
      <c r="E54" s="729">
        <v>0</v>
      </c>
      <c r="F54" s="732">
        <v>0</v>
      </c>
      <c r="G54" s="731" t="s">
        <v>777</v>
      </c>
      <c r="H54" s="729">
        <v>0</v>
      </c>
      <c r="I54" s="732">
        <v>82640</v>
      </c>
      <c r="J54" s="731" t="s">
        <v>777</v>
      </c>
      <c r="K54" s="729">
        <v>0</v>
      </c>
      <c r="L54" s="732">
        <v>0</v>
      </c>
      <c r="M54" s="731" t="s">
        <v>777</v>
      </c>
      <c r="N54" s="729">
        <v>0</v>
      </c>
      <c r="O54" s="732">
        <v>0</v>
      </c>
      <c r="P54" s="731" t="s">
        <v>777</v>
      </c>
      <c r="Q54" s="729">
        <v>0</v>
      </c>
      <c r="R54" s="732">
        <v>0</v>
      </c>
      <c r="S54" s="731" t="s">
        <v>777</v>
      </c>
      <c r="T54" s="729">
        <v>0</v>
      </c>
      <c r="U54" s="732">
        <v>0</v>
      </c>
      <c r="V54" s="773">
        <f t="shared" si="4"/>
        <v>13500000</v>
      </c>
      <c r="W54" s="770">
        <f t="shared" si="5"/>
        <v>13582640</v>
      </c>
    </row>
    <row r="55" spans="1:23" ht="12.75">
      <c r="A55" s="731" t="s">
        <v>778</v>
      </c>
      <c r="B55" s="729">
        <v>0</v>
      </c>
      <c r="C55" s="732">
        <v>0</v>
      </c>
      <c r="D55" s="731" t="s">
        <v>778</v>
      </c>
      <c r="E55" s="729">
        <v>0</v>
      </c>
      <c r="F55" s="732">
        <v>0</v>
      </c>
      <c r="G55" s="731" t="s">
        <v>778</v>
      </c>
      <c r="H55" s="729">
        <v>353314</v>
      </c>
      <c r="I55" s="732">
        <v>273314</v>
      </c>
      <c r="J55" s="731" t="s">
        <v>778</v>
      </c>
      <c r="K55" s="729">
        <v>0</v>
      </c>
      <c r="L55" s="732">
        <v>0</v>
      </c>
      <c r="M55" s="731" t="s">
        <v>778</v>
      </c>
      <c r="N55" s="729">
        <v>0</v>
      </c>
      <c r="O55" s="732">
        <v>18529</v>
      </c>
      <c r="P55" s="731" t="s">
        <v>778</v>
      </c>
      <c r="Q55" s="729">
        <v>0</v>
      </c>
      <c r="R55" s="732">
        <v>0</v>
      </c>
      <c r="S55" s="731" t="s">
        <v>778</v>
      </c>
      <c r="T55" s="729">
        <v>0</v>
      </c>
      <c r="U55" s="732">
        <v>0</v>
      </c>
      <c r="V55" s="773">
        <f t="shared" si="4"/>
        <v>353314</v>
      </c>
      <c r="W55" s="770">
        <f t="shared" si="5"/>
        <v>291843</v>
      </c>
    </row>
    <row r="56" spans="1:23" ht="26.25">
      <c r="A56" s="731" t="s">
        <v>779</v>
      </c>
      <c r="B56" s="729">
        <v>19800</v>
      </c>
      <c r="C56" s="732">
        <v>16970043</v>
      </c>
      <c r="D56" s="731" t="s">
        <v>779</v>
      </c>
      <c r="E56" s="729">
        <v>0</v>
      </c>
      <c r="F56" s="732">
        <v>0</v>
      </c>
      <c r="G56" s="731" t="s">
        <v>779</v>
      </c>
      <c r="H56" s="729">
        <v>0</v>
      </c>
      <c r="I56" s="732">
        <v>0</v>
      </c>
      <c r="J56" s="731" t="s">
        <v>779</v>
      </c>
      <c r="K56" s="729">
        <v>0</v>
      </c>
      <c r="L56" s="732">
        <v>409339</v>
      </c>
      <c r="M56" s="731" t="s">
        <v>779</v>
      </c>
      <c r="N56" s="729">
        <v>0</v>
      </c>
      <c r="O56" s="732">
        <v>0</v>
      </c>
      <c r="P56" s="731" t="s">
        <v>779</v>
      </c>
      <c r="Q56" s="729">
        <v>0</v>
      </c>
      <c r="R56" s="732">
        <v>0</v>
      </c>
      <c r="S56" s="731" t="s">
        <v>779</v>
      </c>
      <c r="T56" s="729">
        <v>0</v>
      </c>
      <c r="U56" s="732">
        <v>0</v>
      </c>
      <c r="V56" s="773">
        <f t="shared" si="4"/>
        <v>19800</v>
      </c>
      <c r="W56" s="770">
        <f t="shared" si="5"/>
        <v>17379382</v>
      </c>
    </row>
    <row r="57" spans="1:23" ht="12.75">
      <c r="A57" s="731" t="s">
        <v>780</v>
      </c>
      <c r="B57" s="729">
        <v>0</v>
      </c>
      <c r="C57" s="732">
        <v>611801</v>
      </c>
      <c r="D57" s="731" t="s">
        <v>780</v>
      </c>
      <c r="E57" s="729">
        <v>0</v>
      </c>
      <c r="F57" s="732">
        <v>736959</v>
      </c>
      <c r="G57" s="731" t="s">
        <v>780</v>
      </c>
      <c r="H57" s="729">
        <v>0</v>
      </c>
      <c r="I57" s="732">
        <v>27402</v>
      </c>
      <c r="J57" s="731" t="s">
        <v>780</v>
      </c>
      <c r="K57" s="729">
        <v>6330008</v>
      </c>
      <c r="L57" s="732">
        <v>5062112</v>
      </c>
      <c r="M57" s="731" t="s">
        <v>780</v>
      </c>
      <c r="N57" s="729">
        <v>109045</v>
      </c>
      <c r="O57" s="732">
        <v>578030</v>
      </c>
      <c r="P57" s="731" t="s">
        <v>780</v>
      </c>
      <c r="Q57" s="729">
        <v>5051576</v>
      </c>
      <c r="R57" s="732">
        <v>3735985</v>
      </c>
      <c r="S57" s="731" t="s">
        <v>780</v>
      </c>
      <c r="T57" s="729">
        <v>0</v>
      </c>
      <c r="U57" s="732">
        <v>0</v>
      </c>
      <c r="V57" s="773">
        <f t="shared" si="4"/>
        <v>11490629</v>
      </c>
      <c r="W57" s="770">
        <f t="shared" si="5"/>
        <v>10752289</v>
      </c>
    </row>
    <row r="58" spans="1:23" ht="26.25">
      <c r="A58" s="731" t="s">
        <v>781</v>
      </c>
      <c r="B58" s="729">
        <v>6132031</v>
      </c>
      <c r="C58" s="732">
        <v>11799066</v>
      </c>
      <c r="D58" s="731" t="s">
        <v>781</v>
      </c>
      <c r="E58" s="729">
        <v>0</v>
      </c>
      <c r="F58" s="732">
        <v>0</v>
      </c>
      <c r="G58" s="731" t="s">
        <v>781</v>
      </c>
      <c r="H58" s="729">
        <v>0</v>
      </c>
      <c r="I58" s="732">
        <v>0</v>
      </c>
      <c r="J58" s="731" t="s">
        <v>781</v>
      </c>
      <c r="K58" s="729">
        <v>0</v>
      </c>
      <c r="L58" s="732">
        <v>6000</v>
      </c>
      <c r="M58" s="731" t="s">
        <v>781</v>
      </c>
      <c r="N58" s="729">
        <v>0</v>
      </c>
      <c r="O58" s="732">
        <v>157605</v>
      </c>
      <c r="P58" s="731" t="s">
        <v>781</v>
      </c>
      <c r="Q58" s="729">
        <v>0</v>
      </c>
      <c r="R58" s="732">
        <v>0</v>
      </c>
      <c r="S58" s="731" t="s">
        <v>781</v>
      </c>
      <c r="T58" s="729">
        <v>0</v>
      </c>
      <c r="U58" s="732">
        <v>0</v>
      </c>
      <c r="V58" s="773">
        <f t="shared" si="4"/>
        <v>6132031</v>
      </c>
      <c r="W58" s="770">
        <f t="shared" si="5"/>
        <v>11962671</v>
      </c>
    </row>
    <row r="59" spans="1:23" ht="12.75">
      <c r="A59" s="731" t="s">
        <v>919</v>
      </c>
      <c r="B59" s="729">
        <v>600000</v>
      </c>
      <c r="C59" s="732">
        <v>518055</v>
      </c>
      <c r="D59" s="731" t="s">
        <v>919</v>
      </c>
      <c r="E59" s="729">
        <v>0</v>
      </c>
      <c r="F59" s="732">
        <v>0</v>
      </c>
      <c r="G59" s="731" t="s">
        <v>919</v>
      </c>
      <c r="H59" s="729">
        <v>0</v>
      </c>
      <c r="I59" s="732">
        <v>0</v>
      </c>
      <c r="J59" s="731" t="s">
        <v>919</v>
      </c>
      <c r="K59" s="729">
        <v>0</v>
      </c>
      <c r="L59" s="732">
        <v>0</v>
      </c>
      <c r="M59" s="731" t="s">
        <v>919</v>
      </c>
      <c r="N59" s="729">
        <v>0</v>
      </c>
      <c r="O59" s="732">
        <v>0</v>
      </c>
      <c r="P59" s="731" t="s">
        <v>919</v>
      </c>
      <c r="Q59" s="729">
        <v>0</v>
      </c>
      <c r="R59" s="732">
        <v>0</v>
      </c>
      <c r="S59" s="731" t="s">
        <v>919</v>
      </c>
      <c r="T59" s="729">
        <v>0</v>
      </c>
      <c r="U59" s="732">
        <v>0</v>
      </c>
      <c r="V59" s="773">
        <f t="shared" si="4"/>
        <v>600000</v>
      </c>
      <c r="W59" s="770">
        <f t="shared" si="5"/>
        <v>518055</v>
      </c>
    </row>
    <row r="60" spans="1:23" ht="26.25">
      <c r="A60" s="731" t="s">
        <v>782</v>
      </c>
      <c r="B60" s="729">
        <v>6041806</v>
      </c>
      <c r="C60" s="732">
        <v>6041806</v>
      </c>
      <c r="D60" s="731" t="s">
        <v>782</v>
      </c>
      <c r="E60" s="729">
        <v>0</v>
      </c>
      <c r="F60" s="732">
        <v>0</v>
      </c>
      <c r="G60" s="731" t="s">
        <v>782</v>
      </c>
      <c r="H60" s="729">
        <v>0</v>
      </c>
      <c r="I60" s="732">
        <v>0</v>
      </c>
      <c r="J60" s="731" t="s">
        <v>782</v>
      </c>
      <c r="K60" s="729">
        <v>0</v>
      </c>
      <c r="L60" s="732">
        <v>0</v>
      </c>
      <c r="M60" s="731" t="s">
        <v>782</v>
      </c>
      <c r="N60" s="729">
        <v>0</v>
      </c>
      <c r="O60" s="732">
        <v>0</v>
      </c>
      <c r="P60" s="731" t="s">
        <v>782</v>
      </c>
      <c r="Q60" s="729">
        <v>0</v>
      </c>
      <c r="R60" s="732">
        <v>0</v>
      </c>
      <c r="S60" s="731" t="s">
        <v>782</v>
      </c>
      <c r="T60" s="729">
        <v>0</v>
      </c>
      <c r="U60" s="732">
        <v>0</v>
      </c>
      <c r="V60" s="773">
        <f t="shared" si="4"/>
        <v>6041806</v>
      </c>
      <c r="W60" s="770">
        <f t="shared" si="5"/>
        <v>6041806</v>
      </c>
    </row>
    <row r="61" spans="1:23" ht="26.25">
      <c r="A61" s="733" t="s">
        <v>783</v>
      </c>
      <c r="B61" s="730">
        <v>26293637</v>
      </c>
      <c r="C61" s="734">
        <v>49440771</v>
      </c>
      <c r="D61" s="733" t="s">
        <v>783</v>
      </c>
      <c r="E61" s="730">
        <v>0</v>
      </c>
      <c r="F61" s="734">
        <v>736959</v>
      </c>
      <c r="G61" s="733" t="s">
        <v>783</v>
      </c>
      <c r="H61" s="730">
        <v>353314</v>
      </c>
      <c r="I61" s="734">
        <v>383356</v>
      </c>
      <c r="J61" s="733" t="s">
        <v>783</v>
      </c>
      <c r="K61" s="730">
        <v>6330008</v>
      </c>
      <c r="L61" s="734">
        <v>5477451</v>
      </c>
      <c r="M61" s="733" t="s">
        <v>783</v>
      </c>
      <c r="N61" s="730">
        <v>109045</v>
      </c>
      <c r="O61" s="734">
        <v>754164</v>
      </c>
      <c r="P61" s="733" t="s">
        <v>783</v>
      </c>
      <c r="Q61" s="730">
        <v>5051576</v>
      </c>
      <c r="R61" s="734">
        <v>3735985</v>
      </c>
      <c r="S61" s="733" t="s">
        <v>783</v>
      </c>
      <c r="T61" s="730">
        <v>0</v>
      </c>
      <c r="U61" s="734">
        <v>0</v>
      </c>
      <c r="V61" s="774">
        <f t="shared" si="4"/>
        <v>38137580</v>
      </c>
      <c r="W61" s="771">
        <f t="shared" si="5"/>
        <v>60528686</v>
      </c>
    </row>
    <row r="62" spans="1:23" ht="12.75">
      <c r="A62" s="733" t="s">
        <v>784</v>
      </c>
      <c r="B62" s="730">
        <v>147566469</v>
      </c>
      <c r="C62" s="734">
        <v>176740329</v>
      </c>
      <c r="D62" s="733" t="s">
        <v>784</v>
      </c>
      <c r="E62" s="730">
        <v>170819</v>
      </c>
      <c r="F62" s="734">
        <v>958806</v>
      </c>
      <c r="G62" s="733" t="s">
        <v>784</v>
      </c>
      <c r="H62" s="730">
        <v>353314</v>
      </c>
      <c r="I62" s="734">
        <v>383356</v>
      </c>
      <c r="J62" s="733" t="s">
        <v>784</v>
      </c>
      <c r="K62" s="730">
        <v>12347357</v>
      </c>
      <c r="L62" s="734">
        <v>12153179</v>
      </c>
      <c r="M62" s="733" t="s">
        <v>784</v>
      </c>
      <c r="N62" s="730">
        <v>124555</v>
      </c>
      <c r="O62" s="734">
        <v>754318</v>
      </c>
      <c r="P62" s="733" t="s">
        <v>784</v>
      </c>
      <c r="Q62" s="730">
        <v>5051576</v>
      </c>
      <c r="R62" s="734">
        <v>3735985</v>
      </c>
      <c r="S62" s="733" t="s">
        <v>784</v>
      </c>
      <c r="T62" s="730">
        <v>0</v>
      </c>
      <c r="U62" s="734">
        <v>0</v>
      </c>
      <c r="V62" s="774">
        <f t="shared" si="4"/>
        <v>165614090</v>
      </c>
      <c r="W62" s="771">
        <f t="shared" si="5"/>
        <v>194725973</v>
      </c>
    </row>
    <row r="63" spans="1:23" ht="26.25">
      <c r="A63" s="731" t="s">
        <v>785</v>
      </c>
      <c r="B63" s="729">
        <v>0</v>
      </c>
      <c r="C63" s="732">
        <v>0</v>
      </c>
      <c r="D63" s="731" t="s">
        <v>785</v>
      </c>
      <c r="E63" s="729">
        <v>0</v>
      </c>
      <c r="F63" s="732">
        <v>0</v>
      </c>
      <c r="G63" s="731" t="s">
        <v>785</v>
      </c>
      <c r="H63" s="729">
        <v>0</v>
      </c>
      <c r="I63" s="732">
        <v>0</v>
      </c>
      <c r="J63" s="731" t="s">
        <v>785</v>
      </c>
      <c r="K63" s="729">
        <v>38113358</v>
      </c>
      <c r="L63" s="732">
        <v>0</v>
      </c>
      <c r="M63" s="731" t="s">
        <v>785</v>
      </c>
      <c r="N63" s="729">
        <v>195481</v>
      </c>
      <c r="O63" s="732">
        <v>0</v>
      </c>
      <c r="P63" s="731" t="s">
        <v>785</v>
      </c>
      <c r="Q63" s="729">
        <v>0</v>
      </c>
      <c r="R63" s="732">
        <v>0</v>
      </c>
      <c r="S63" s="731" t="s">
        <v>785</v>
      </c>
      <c r="T63" s="729">
        <v>0</v>
      </c>
      <c r="U63" s="732">
        <v>0</v>
      </c>
      <c r="V63" s="773">
        <f t="shared" si="4"/>
        <v>38308839</v>
      </c>
      <c r="W63" s="770">
        <f t="shared" si="5"/>
        <v>0</v>
      </c>
    </row>
    <row r="64" spans="1:23" ht="26.25">
      <c r="A64" s="733" t="s">
        <v>786</v>
      </c>
      <c r="B64" s="730">
        <v>0</v>
      </c>
      <c r="C64" s="734">
        <v>0</v>
      </c>
      <c r="D64" s="733" t="s">
        <v>786</v>
      </c>
      <c r="E64" s="730">
        <v>0</v>
      </c>
      <c r="F64" s="734">
        <v>0</v>
      </c>
      <c r="G64" s="733" t="s">
        <v>786</v>
      </c>
      <c r="H64" s="730">
        <v>0</v>
      </c>
      <c r="I64" s="734">
        <v>0</v>
      </c>
      <c r="J64" s="733" t="s">
        <v>786</v>
      </c>
      <c r="K64" s="730">
        <v>38113358</v>
      </c>
      <c r="L64" s="734">
        <v>0</v>
      </c>
      <c r="M64" s="733" t="s">
        <v>786</v>
      </c>
      <c r="N64" s="730">
        <v>195481</v>
      </c>
      <c r="O64" s="734">
        <v>0</v>
      </c>
      <c r="P64" s="733" t="s">
        <v>786</v>
      </c>
      <c r="Q64" s="730">
        <v>0</v>
      </c>
      <c r="R64" s="734">
        <v>0</v>
      </c>
      <c r="S64" s="733" t="s">
        <v>786</v>
      </c>
      <c r="T64" s="730">
        <v>0</v>
      </c>
      <c r="U64" s="734">
        <v>0</v>
      </c>
      <c r="V64" s="774">
        <f t="shared" si="4"/>
        <v>38308839</v>
      </c>
      <c r="W64" s="771">
        <f t="shared" si="5"/>
        <v>0</v>
      </c>
    </row>
    <row r="65" spans="1:23" ht="12.75">
      <c r="A65" s="731" t="s">
        <v>787</v>
      </c>
      <c r="B65" s="729">
        <v>2999054</v>
      </c>
      <c r="C65" s="732">
        <v>0</v>
      </c>
      <c r="D65" s="731" t="s">
        <v>787</v>
      </c>
      <c r="E65" s="729">
        <v>0</v>
      </c>
      <c r="F65" s="732">
        <v>269000</v>
      </c>
      <c r="G65" s="731" t="s">
        <v>787</v>
      </c>
      <c r="H65" s="729">
        <v>0</v>
      </c>
      <c r="I65" s="732">
        <v>0</v>
      </c>
      <c r="J65" s="731" t="s">
        <v>787</v>
      </c>
      <c r="K65" s="729">
        <v>-42257522</v>
      </c>
      <c r="L65" s="732">
        <v>0</v>
      </c>
      <c r="M65" s="731" t="s">
        <v>787</v>
      </c>
      <c r="N65" s="729">
        <v>-591717</v>
      </c>
      <c r="O65" s="732">
        <v>980000</v>
      </c>
      <c r="P65" s="731" t="s">
        <v>787</v>
      </c>
      <c r="Q65" s="729">
        <v>-18254</v>
      </c>
      <c r="R65" s="732">
        <v>0</v>
      </c>
      <c r="S65" s="731" t="s">
        <v>787</v>
      </c>
      <c r="T65" s="729">
        <v>0</v>
      </c>
      <c r="U65" s="732">
        <v>0</v>
      </c>
      <c r="V65" s="773">
        <f t="shared" si="4"/>
        <v>-39868439</v>
      </c>
      <c r="W65" s="770">
        <f t="shared" si="5"/>
        <v>1249000</v>
      </c>
    </row>
    <row r="66" spans="1:23" ht="26.25">
      <c r="A66" s="733" t="s">
        <v>788</v>
      </c>
      <c r="B66" s="730">
        <v>2999054</v>
      </c>
      <c r="C66" s="734">
        <v>0</v>
      </c>
      <c r="D66" s="733" t="s">
        <v>788</v>
      </c>
      <c r="E66" s="730">
        <v>0</v>
      </c>
      <c r="F66" s="734">
        <v>269000</v>
      </c>
      <c r="G66" s="733" t="s">
        <v>788</v>
      </c>
      <c r="H66" s="730">
        <v>0</v>
      </c>
      <c r="I66" s="734">
        <v>0</v>
      </c>
      <c r="J66" s="733" t="s">
        <v>788</v>
      </c>
      <c r="K66" s="730">
        <v>-42257522</v>
      </c>
      <c r="L66" s="734">
        <v>0</v>
      </c>
      <c r="M66" s="733" t="s">
        <v>788</v>
      </c>
      <c r="N66" s="730">
        <v>-591717</v>
      </c>
      <c r="O66" s="734">
        <v>980000</v>
      </c>
      <c r="P66" s="733" t="s">
        <v>788</v>
      </c>
      <c r="Q66" s="730">
        <v>-18254</v>
      </c>
      <c r="R66" s="734">
        <v>0</v>
      </c>
      <c r="S66" s="733" t="s">
        <v>788</v>
      </c>
      <c r="T66" s="730">
        <v>0</v>
      </c>
      <c r="U66" s="734">
        <v>0</v>
      </c>
      <c r="V66" s="774">
        <f t="shared" si="4"/>
        <v>-39868439</v>
      </c>
      <c r="W66" s="771">
        <f t="shared" si="5"/>
        <v>1249000</v>
      </c>
    </row>
    <row r="67" spans="1:23" ht="26.25">
      <c r="A67" s="733" t="s">
        <v>789</v>
      </c>
      <c r="B67" s="730">
        <v>0</v>
      </c>
      <c r="C67" s="734">
        <v>0</v>
      </c>
      <c r="D67" s="733" t="s">
        <v>789</v>
      </c>
      <c r="E67" s="730">
        <v>0</v>
      </c>
      <c r="F67" s="734">
        <v>0</v>
      </c>
      <c r="G67" s="733" t="s">
        <v>789</v>
      </c>
      <c r="H67" s="730">
        <v>0</v>
      </c>
      <c r="I67" s="734">
        <v>0</v>
      </c>
      <c r="J67" s="733" t="s">
        <v>789</v>
      </c>
      <c r="K67" s="730">
        <v>0</v>
      </c>
      <c r="L67" s="734">
        <v>0</v>
      </c>
      <c r="M67" s="733" t="s">
        <v>789</v>
      </c>
      <c r="N67" s="730">
        <v>0</v>
      </c>
      <c r="O67" s="734">
        <v>0</v>
      </c>
      <c r="P67" s="733" t="s">
        <v>789</v>
      </c>
      <c r="Q67" s="730">
        <v>0</v>
      </c>
      <c r="R67" s="734">
        <v>0</v>
      </c>
      <c r="S67" s="733" t="s">
        <v>789</v>
      </c>
      <c r="T67" s="730">
        <v>0</v>
      </c>
      <c r="U67" s="734">
        <v>0</v>
      </c>
      <c r="V67" s="774">
        <f t="shared" si="4"/>
        <v>0</v>
      </c>
      <c r="W67" s="771">
        <f t="shared" si="5"/>
        <v>0</v>
      </c>
    </row>
    <row r="68" spans="1:23" ht="26.25">
      <c r="A68" s="733" t="s">
        <v>790</v>
      </c>
      <c r="B68" s="730">
        <v>2999054</v>
      </c>
      <c r="C68" s="734">
        <v>0</v>
      </c>
      <c r="D68" s="733" t="s">
        <v>790</v>
      </c>
      <c r="E68" s="730">
        <v>0</v>
      </c>
      <c r="F68" s="734">
        <v>269000</v>
      </c>
      <c r="G68" s="733" t="s">
        <v>790</v>
      </c>
      <c r="H68" s="730">
        <v>0</v>
      </c>
      <c r="I68" s="734">
        <v>0</v>
      </c>
      <c r="J68" s="733" t="s">
        <v>790</v>
      </c>
      <c r="K68" s="730">
        <v>-4144164</v>
      </c>
      <c r="L68" s="734">
        <v>0</v>
      </c>
      <c r="M68" s="733" t="s">
        <v>790</v>
      </c>
      <c r="N68" s="730">
        <v>-396236</v>
      </c>
      <c r="O68" s="734">
        <v>980000</v>
      </c>
      <c r="P68" s="733" t="s">
        <v>790</v>
      </c>
      <c r="Q68" s="730">
        <v>-18254</v>
      </c>
      <c r="R68" s="734">
        <v>0</v>
      </c>
      <c r="S68" s="733" t="s">
        <v>790</v>
      </c>
      <c r="T68" s="730">
        <v>0</v>
      </c>
      <c r="U68" s="734">
        <v>0</v>
      </c>
      <c r="V68" s="774">
        <f t="shared" si="4"/>
        <v>-1559600</v>
      </c>
      <c r="W68" s="771">
        <f t="shared" si="5"/>
        <v>1249000</v>
      </c>
    </row>
    <row r="69" spans="1:23" ht="26.25">
      <c r="A69" s="731" t="s">
        <v>791</v>
      </c>
      <c r="B69" s="729">
        <v>0</v>
      </c>
      <c r="C69" s="732">
        <v>0</v>
      </c>
      <c r="D69" s="731" t="s">
        <v>791</v>
      </c>
      <c r="E69" s="729">
        <v>0</v>
      </c>
      <c r="F69" s="732">
        <v>0</v>
      </c>
      <c r="G69" s="731" t="s">
        <v>791</v>
      </c>
      <c r="H69" s="729">
        <v>0</v>
      </c>
      <c r="I69" s="732">
        <v>0</v>
      </c>
      <c r="J69" s="731" t="s">
        <v>791</v>
      </c>
      <c r="K69" s="729">
        <v>3251556</v>
      </c>
      <c r="L69" s="732">
        <v>3251556</v>
      </c>
      <c r="M69" s="731" t="s">
        <v>791</v>
      </c>
      <c r="N69" s="729">
        <v>0</v>
      </c>
      <c r="O69" s="732">
        <v>0</v>
      </c>
      <c r="P69" s="731" t="s">
        <v>791</v>
      </c>
      <c r="Q69" s="729">
        <v>0</v>
      </c>
      <c r="R69" s="732">
        <v>0</v>
      </c>
      <c r="S69" s="731" t="s">
        <v>791</v>
      </c>
      <c r="T69" s="729">
        <v>0</v>
      </c>
      <c r="U69" s="732">
        <v>0</v>
      </c>
      <c r="V69" s="773">
        <f t="shared" si="4"/>
        <v>3251556</v>
      </c>
      <c r="W69" s="770">
        <f t="shared" si="5"/>
        <v>3251556</v>
      </c>
    </row>
    <row r="70" spans="1:23" ht="12.75">
      <c r="A70" s="731" t="s">
        <v>792</v>
      </c>
      <c r="B70" s="729">
        <v>151531</v>
      </c>
      <c r="C70" s="732">
        <v>151531</v>
      </c>
      <c r="D70" s="731" t="s">
        <v>792</v>
      </c>
      <c r="E70" s="729">
        <v>54606</v>
      </c>
      <c r="F70" s="732">
        <v>0</v>
      </c>
      <c r="G70" s="731" t="s">
        <v>792</v>
      </c>
      <c r="H70" s="729">
        <v>33000</v>
      </c>
      <c r="I70" s="732">
        <v>0</v>
      </c>
      <c r="J70" s="731" t="s">
        <v>792</v>
      </c>
      <c r="K70" s="729">
        <v>0</v>
      </c>
      <c r="L70" s="732">
        <v>0</v>
      </c>
      <c r="M70" s="731" t="s">
        <v>792</v>
      </c>
      <c r="N70" s="729">
        <v>170883</v>
      </c>
      <c r="O70" s="732">
        <v>248444</v>
      </c>
      <c r="P70" s="731" t="s">
        <v>792</v>
      </c>
      <c r="Q70" s="729">
        <v>0</v>
      </c>
      <c r="R70" s="732">
        <v>0</v>
      </c>
      <c r="S70" s="731" t="s">
        <v>792</v>
      </c>
      <c r="T70" s="729">
        <v>0</v>
      </c>
      <c r="U70" s="732">
        <v>0</v>
      </c>
      <c r="V70" s="773">
        <f t="shared" si="4"/>
        <v>410020</v>
      </c>
      <c r="W70" s="770">
        <f t="shared" si="5"/>
        <v>399975</v>
      </c>
    </row>
    <row r="71" spans="1:23" ht="12.75">
      <c r="A71" s="731" t="s">
        <v>920</v>
      </c>
      <c r="B71" s="729">
        <v>0</v>
      </c>
      <c r="C71" s="732">
        <v>0</v>
      </c>
      <c r="D71" s="731" t="s">
        <v>920</v>
      </c>
      <c r="E71" s="729">
        <v>0</v>
      </c>
      <c r="F71" s="732">
        <v>0</v>
      </c>
      <c r="G71" s="731" t="s">
        <v>920</v>
      </c>
      <c r="H71" s="729">
        <v>0</v>
      </c>
      <c r="I71" s="732">
        <v>0</v>
      </c>
      <c r="J71" s="731" t="s">
        <v>920</v>
      </c>
      <c r="K71" s="729">
        <v>0</v>
      </c>
      <c r="L71" s="732">
        <v>0</v>
      </c>
      <c r="M71" s="731" t="s">
        <v>920</v>
      </c>
      <c r="N71" s="729">
        <v>0</v>
      </c>
      <c r="O71" s="732">
        <v>0</v>
      </c>
      <c r="P71" s="731" t="s">
        <v>920</v>
      </c>
      <c r="Q71" s="729">
        <v>0</v>
      </c>
      <c r="R71" s="732">
        <v>0</v>
      </c>
      <c r="S71" s="731" t="s">
        <v>920</v>
      </c>
      <c r="T71" s="729">
        <v>0</v>
      </c>
      <c r="U71" s="732">
        <v>0</v>
      </c>
      <c r="V71" s="773">
        <f t="shared" si="4"/>
        <v>0</v>
      </c>
      <c r="W71" s="770">
        <f t="shared" si="5"/>
        <v>0</v>
      </c>
    </row>
    <row r="72" spans="1:23" ht="26.25">
      <c r="A72" s="733" t="s">
        <v>793</v>
      </c>
      <c r="B72" s="730">
        <v>151531</v>
      </c>
      <c r="C72" s="734">
        <v>151531</v>
      </c>
      <c r="D72" s="733" t="s">
        <v>793</v>
      </c>
      <c r="E72" s="730">
        <v>54606</v>
      </c>
      <c r="F72" s="734">
        <v>0</v>
      </c>
      <c r="G72" s="733" t="s">
        <v>793</v>
      </c>
      <c r="H72" s="730">
        <v>33000</v>
      </c>
      <c r="I72" s="734">
        <v>0</v>
      </c>
      <c r="J72" s="733" t="s">
        <v>793</v>
      </c>
      <c r="K72" s="730">
        <v>3251556</v>
      </c>
      <c r="L72" s="734">
        <v>3251556</v>
      </c>
      <c r="M72" s="733" t="s">
        <v>793</v>
      </c>
      <c r="N72" s="730">
        <v>170883</v>
      </c>
      <c r="O72" s="734">
        <v>248444</v>
      </c>
      <c r="P72" s="733" t="s">
        <v>793</v>
      </c>
      <c r="Q72" s="730">
        <v>0</v>
      </c>
      <c r="R72" s="734">
        <v>0</v>
      </c>
      <c r="S72" s="733" t="s">
        <v>793</v>
      </c>
      <c r="T72" s="730">
        <v>0</v>
      </c>
      <c r="U72" s="734">
        <v>0</v>
      </c>
      <c r="V72" s="773">
        <f t="shared" si="4"/>
        <v>3661576</v>
      </c>
      <c r="W72" s="770">
        <f t="shared" si="5"/>
        <v>3651531</v>
      </c>
    </row>
    <row r="73" spans="1:23" ht="12.75">
      <c r="A73" s="733" t="s">
        <v>794</v>
      </c>
      <c r="B73" s="730">
        <v>12961980317</v>
      </c>
      <c r="C73" s="734">
        <v>13298542500</v>
      </c>
      <c r="D73" s="733" t="s">
        <v>794</v>
      </c>
      <c r="E73" s="730">
        <v>33836847</v>
      </c>
      <c r="F73" s="734">
        <v>30191965</v>
      </c>
      <c r="G73" s="733" t="s">
        <v>794</v>
      </c>
      <c r="H73" s="730">
        <v>6495406</v>
      </c>
      <c r="I73" s="734">
        <v>10295584</v>
      </c>
      <c r="J73" s="733" t="s">
        <v>794</v>
      </c>
      <c r="K73" s="730">
        <v>49752844</v>
      </c>
      <c r="L73" s="734">
        <v>74221333</v>
      </c>
      <c r="M73" s="733" t="s">
        <v>794</v>
      </c>
      <c r="N73" s="730">
        <v>2381234</v>
      </c>
      <c r="O73" s="734">
        <v>22756161</v>
      </c>
      <c r="P73" s="733" t="s">
        <v>794</v>
      </c>
      <c r="Q73" s="730">
        <v>8742990</v>
      </c>
      <c r="R73" s="734">
        <v>4179396</v>
      </c>
      <c r="S73" s="733" t="s">
        <v>794</v>
      </c>
      <c r="T73" s="730">
        <v>0</v>
      </c>
      <c r="U73" s="734">
        <v>240598</v>
      </c>
      <c r="V73" s="774">
        <f t="shared" si="4"/>
        <v>13063189638</v>
      </c>
      <c r="W73" s="771">
        <f t="shared" si="5"/>
        <v>13440427537</v>
      </c>
    </row>
    <row r="74" spans="1:23" ht="12.75">
      <c r="A74" s="731" t="s">
        <v>795</v>
      </c>
      <c r="B74" s="729">
        <v>9762462078</v>
      </c>
      <c r="C74" s="732">
        <v>9762462078</v>
      </c>
      <c r="D74" s="731" t="s">
        <v>795</v>
      </c>
      <c r="E74" s="729">
        <v>194497451</v>
      </c>
      <c r="F74" s="732">
        <v>194497451</v>
      </c>
      <c r="G74" s="731" t="s">
        <v>795</v>
      </c>
      <c r="H74" s="729">
        <v>82491344</v>
      </c>
      <c r="I74" s="732">
        <v>82491344</v>
      </c>
      <c r="J74" s="731" t="s">
        <v>795</v>
      </c>
      <c r="K74" s="729">
        <v>250523184</v>
      </c>
      <c r="L74" s="732">
        <v>250523184</v>
      </c>
      <c r="M74" s="731" t="s">
        <v>795</v>
      </c>
      <c r="N74" s="729">
        <v>412264530</v>
      </c>
      <c r="O74" s="732">
        <v>412264530</v>
      </c>
      <c r="P74" s="731" t="s">
        <v>795</v>
      </c>
      <c r="Q74" s="729">
        <v>82652849</v>
      </c>
      <c r="R74" s="732">
        <v>82652849</v>
      </c>
      <c r="S74" s="731" t="s">
        <v>795</v>
      </c>
      <c r="T74" s="729">
        <v>0</v>
      </c>
      <c r="U74" s="732">
        <v>0</v>
      </c>
      <c r="V74" s="773">
        <f t="shared" si="4"/>
        <v>10784891436</v>
      </c>
      <c r="W74" s="770">
        <f t="shared" si="5"/>
        <v>10784891436</v>
      </c>
    </row>
    <row r="75" spans="1:23" ht="12.75">
      <c r="A75" s="731" t="s">
        <v>796</v>
      </c>
      <c r="B75" s="729">
        <v>558325807</v>
      </c>
      <c r="C75" s="732">
        <v>558325807</v>
      </c>
      <c r="D75" s="731" t="s">
        <v>796</v>
      </c>
      <c r="E75" s="729">
        <v>-8652005</v>
      </c>
      <c r="F75" s="732">
        <v>-8652005</v>
      </c>
      <c r="G75" s="731" t="s">
        <v>796</v>
      </c>
      <c r="H75" s="729">
        <v>-68458972</v>
      </c>
      <c r="I75" s="732">
        <v>-68458972</v>
      </c>
      <c r="J75" s="731" t="s">
        <v>796</v>
      </c>
      <c r="K75" s="729">
        <v>-155056822</v>
      </c>
      <c r="L75" s="732">
        <v>-155056822</v>
      </c>
      <c r="M75" s="731" t="s">
        <v>796</v>
      </c>
      <c r="N75" s="729">
        <v>-377119436</v>
      </c>
      <c r="O75" s="732">
        <v>-377119436</v>
      </c>
      <c r="P75" s="731" t="s">
        <v>796</v>
      </c>
      <c r="Q75" s="729">
        <v>-74253404</v>
      </c>
      <c r="R75" s="732">
        <v>-74253404</v>
      </c>
      <c r="S75" s="731" t="s">
        <v>796</v>
      </c>
      <c r="T75" s="729">
        <v>0</v>
      </c>
      <c r="U75" s="732">
        <v>0</v>
      </c>
      <c r="V75" s="773">
        <f t="shared" si="4"/>
        <v>-125214832</v>
      </c>
      <c r="W75" s="770">
        <f t="shared" si="5"/>
        <v>-125214832</v>
      </c>
    </row>
    <row r="76" spans="1:23" ht="26.25">
      <c r="A76" s="731" t="s">
        <v>921</v>
      </c>
      <c r="B76" s="729">
        <v>61662072</v>
      </c>
      <c r="C76" s="732">
        <v>61662072</v>
      </c>
      <c r="D76" s="731" t="s">
        <v>921</v>
      </c>
      <c r="E76" s="729">
        <v>160405</v>
      </c>
      <c r="F76" s="732">
        <v>160405</v>
      </c>
      <c r="G76" s="731" t="s">
        <v>921</v>
      </c>
      <c r="H76" s="729">
        <v>15815</v>
      </c>
      <c r="I76" s="732">
        <v>15815</v>
      </c>
      <c r="J76" s="731" t="s">
        <v>921</v>
      </c>
      <c r="K76" s="729">
        <v>0</v>
      </c>
      <c r="L76" s="732">
        <v>0</v>
      </c>
      <c r="M76" s="731" t="s">
        <v>921</v>
      </c>
      <c r="N76" s="729">
        <v>0</v>
      </c>
      <c r="O76" s="732">
        <v>0</v>
      </c>
      <c r="P76" s="731" t="s">
        <v>921</v>
      </c>
      <c r="Q76" s="729">
        <v>0</v>
      </c>
      <c r="R76" s="732">
        <v>0</v>
      </c>
      <c r="S76" s="731" t="s">
        <v>921</v>
      </c>
      <c r="T76" s="729">
        <v>0</v>
      </c>
      <c r="U76" s="732">
        <v>0</v>
      </c>
      <c r="V76" s="773">
        <f t="shared" si="4"/>
        <v>61838292</v>
      </c>
      <c r="W76" s="770">
        <f t="shared" si="5"/>
        <v>61838292</v>
      </c>
    </row>
    <row r="77" spans="1:23" ht="12.75">
      <c r="A77" s="731" t="s">
        <v>797</v>
      </c>
      <c r="B77" s="729">
        <v>-618158317</v>
      </c>
      <c r="C77" s="732">
        <v>-770543081</v>
      </c>
      <c r="D77" s="731" t="s">
        <v>797</v>
      </c>
      <c r="E77" s="729">
        <v>-168520391</v>
      </c>
      <c r="F77" s="732">
        <v>-161970886</v>
      </c>
      <c r="G77" s="731" t="s">
        <v>797</v>
      </c>
      <c r="H77" s="729">
        <v>-20583464</v>
      </c>
      <c r="I77" s="732">
        <v>-13728948</v>
      </c>
      <c r="J77" s="731" t="s">
        <v>797</v>
      </c>
      <c r="K77" s="729">
        <v>-71008832</v>
      </c>
      <c r="L77" s="732">
        <v>-71008832</v>
      </c>
      <c r="M77" s="731" t="s">
        <v>797</v>
      </c>
      <c r="N77" s="729">
        <v>-37278362</v>
      </c>
      <c r="O77" s="732">
        <v>-37139188</v>
      </c>
      <c r="P77" s="731" t="s">
        <v>797</v>
      </c>
      <c r="Q77" s="729">
        <v>-30177715</v>
      </c>
      <c r="R77" s="732">
        <v>-26986105</v>
      </c>
      <c r="S77" s="731" t="s">
        <v>797</v>
      </c>
      <c r="T77" s="729">
        <v>0</v>
      </c>
      <c r="U77" s="732">
        <v>0</v>
      </c>
      <c r="V77" s="773">
        <f t="shared" si="4"/>
        <v>-945727081</v>
      </c>
      <c r="W77" s="770">
        <f t="shared" si="5"/>
        <v>-1081377040</v>
      </c>
    </row>
    <row r="78" spans="1:23" ht="12.75">
      <c r="A78" s="731" t="s">
        <v>922</v>
      </c>
      <c r="B78" s="729">
        <v>0</v>
      </c>
      <c r="C78" s="732">
        <v>0</v>
      </c>
      <c r="D78" s="731" t="s">
        <v>922</v>
      </c>
      <c r="E78" s="729">
        <v>0</v>
      </c>
      <c r="F78" s="732">
        <v>0</v>
      </c>
      <c r="G78" s="731" t="s">
        <v>922</v>
      </c>
      <c r="H78" s="729">
        <v>0</v>
      </c>
      <c r="I78" s="732">
        <v>0</v>
      </c>
      <c r="J78" s="731" t="s">
        <v>922</v>
      </c>
      <c r="K78" s="729">
        <v>0</v>
      </c>
      <c r="L78" s="732">
        <v>0</v>
      </c>
      <c r="M78" s="731" t="s">
        <v>922</v>
      </c>
      <c r="N78" s="729">
        <v>0</v>
      </c>
      <c r="O78" s="732">
        <v>0</v>
      </c>
      <c r="P78" s="731" t="s">
        <v>922</v>
      </c>
      <c r="Q78" s="729">
        <v>0</v>
      </c>
      <c r="R78" s="732">
        <v>0</v>
      </c>
      <c r="S78" s="731" t="s">
        <v>922</v>
      </c>
      <c r="T78" s="729">
        <v>0</v>
      </c>
      <c r="U78" s="732">
        <v>0</v>
      </c>
      <c r="V78" s="773">
        <f t="shared" si="4"/>
        <v>0</v>
      </c>
      <c r="W78" s="770">
        <f t="shared" si="5"/>
        <v>0</v>
      </c>
    </row>
    <row r="79" spans="1:23" ht="12.75">
      <c r="A79" s="731" t="s">
        <v>798</v>
      </c>
      <c r="B79" s="729">
        <v>-152384764</v>
      </c>
      <c r="C79" s="732">
        <v>325376376</v>
      </c>
      <c r="D79" s="731" t="s">
        <v>798</v>
      </c>
      <c r="E79" s="729">
        <v>6549505</v>
      </c>
      <c r="F79" s="732">
        <v>-8588857</v>
      </c>
      <c r="G79" s="731" t="s">
        <v>798</v>
      </c>
      <c r="H79" s="729">
        <v>6854516</v>
      </c>
      <c r="I79" s="732">
        <v>2716474</v>
      </c>
      <c r="J79" s="731" t="s">
        <v>798</v>
      </c>
      <c r="K79" s="729">
        <v>0</v>
      </c>
      <c r="L79" s="732">
        <v>12331449</v>
      </c>
      <c r="M79" s="731" t="s">
        <v>798</v>
      </c>
      <c r="N79" s="729">
        <v>139174</v>
      </c>
      <c r="O79" s="732">
        <v>18010748</v>
      </c>
      <c r="P79" s="731" t="s">
        <v>798</v>
      </c>
      <c r="Q79" s="729">
        <v>3191610</v>
      </c>
      <c r="R79" s="732">
        <v>-3453788</v>
      </c>
      <c r="S79" s="731" t="s">
        <v>798</v>
      </c>
      <c r="T79" s="729">
        <v>0</v>
      </c>
      <c r="U79" s="732">
        <v>-202765</v>
      </c>
      <c r="V79" s="773">
        <f t="shared" si="4"/>
        <v>-135649959</v>
      </c>
      <c r="W79" s="770">
        <f t="shared" si="5"/>
        <v>346189637</v>
      </c>
    </row>
    <row r="80" spans="1:23" ht="12.75">
      <c r="A80" s="733" t="s">
        <v>799</v>
      </c>
      <c r="B80" s="730">
        <v>9611906876</v>
      </c>
      <c r="C80" s="734">
        <v>9937283252</v>
      </c>
      <c r="D80" s="733" t="s">
        <v>799</v>
      </c>
      <c r="E80" s="730">
        <v>24034965</v>
      </c>
      <c r="F80" s="734">
        <v>15446108</v>
      </c>
      <c r="G80" s="733" t="s">
        <v>799</v>
      </c>
      <c r="H80" s="730">
        <v>319239</v>
      </c>
      <c r="I80" s="734">
        <v>3035713</v>
      </c>
      <c r="J80" s="733" t="s">
        <v>799</v>
      </c>
      <c r="K80" s="730">
        <v>24457530</v>
      </c>
      <c r="L80" s="734">
        <v>36788979</v>
      </c>
      <c r="M80" s="733" t="s">
        <v>799</v>
      </c>
      <c r="N80" s="730">
        <v>-1994094</v>
      </c>
      <c r="O80" s="734">
        <v>16016654</v>
      </c>
      <c r="P80" s="733" t="s">
        <v>799</v>
      </c>
      <c r="Q80" s="730">
        <v>-18586660</v>
      </c>
      <c r="R80" s="734">
        <v>-22040448</v>
      </c>
      <c r="S80" s="733" t="s">
        <v>799</v>
      </c>
      <c r="T80" s="730">
        <v>0</v>
      </c>
      <c r="U80" s="734">
        <v>-202765</v>
      </c>
      <c r="V80" s="774">
        <f t="shared" si="4"/>
        <v>9640137856</v>
      </c>
      <c r="W80" s="771">
        <f t="shared" si="5"/>
        <v>9986327493</v>
      </c>
    </row>
    <row r="81" spans="1:23" ht="39">
      <c r="A81" s="731" t="s">
        <v>923</v>
      </c>
      <c r="B81" s="729">
        <v>0</v>
      </c>
      <c r="C81" s="732">
        <v>0</v>
      </c>
      <c r="D81" s="731" t="s">
        <v>923</v>
      </c>
      <c r="E81" s="729">
        <v>0</v>
      </c>
      <c r="F81" s="732">
        <v>0</v>
      </c>
      <c r="G81" s="731" t="s">
        <v>923</v>
      </c>
      <c r="H81" s="729">
        <v>0</v>
      </c>
      <c r="I81" s="732">
        <v>0</v>
      </c>
      <c r="J81" s="731" t="s">
        <v>923</v>
      </c>
      <c r="K81" s="729">
        <v>0</v>
      </c>
      <c r="L81" s="732">
        <v>0</v>
      </c>
      <c r="M81" s="731" t="s">
        <v>923</v>
      </c>
      <c r="N81" s="729">
        <v>0</v>
      </c>
      <c r="O81" s="732">
        <v>0</v>
      </c>
      <c r="P81" s="731" t="s">
        <v>923</v>
      </c>
      <c r="Q81" s="729">
        <v>0</v>
      </c>
      <c r="R81" s="732">
        <v>1275000</v>
      </c>
      <c r="S81" s="731" t="s">
        <v>923</v>
      </c>
      <c r="T81" s="729">
        <v>0</v>
      </c>
      <c r="U81" s="732">
        <v>0</v>
      </c>
      <c r="V81" s="773">
        <f t="shared" si="4"/>
        <v>0</v>
      </c>
      <c r="W81" s="770">
        <f t="shared" si="5"/>
        <v>1275000</v>
      </c>
    </row>
    <row r="82" spans="1:23" ht="26.25">
      <c r="A82" s="731" t="s">
        <v>800</v>
      </c>
      <c r="B82" s="729">
        <v>0</v>
      </c>
      <c r="C82" s="732">
        <v>567649</v>
      </c>
      <c r="D82" s="731" t="s">
        <v>800</v>
      </c>
      <c r="E82" s="729">
        <v>0</v>
      </c>
      <c r="F82" s="732">
        <v>1654820</v>
      </c>
      <c r="G82" s="731" t="s">
        <v>800</v>
      </c>
      <c r="H82" s="729">
        <v>0</v>
      </c>
      <c r="I82" s="732">
        <v>70993</v>
      </c>
      <c r="J82" s="731" t="s">
        <v>800</v>
      </c>
      <c r="K82" s="729">
        <v>2349694</v>
      </c>
      <c r="L82" s="732">
        <v>1670259</v>
      </c>
      <c r="M82" s="731" t="s">
        <v>800</v>
      </c>
      <c r="N82" s="729">
        <v>45720</v>
      </c>
      <c r="O82" s="732">
        <v>630020</v>
      </c>
      <c r="P82" s="731" t="s">
        <v>800</v>
      </c>
      <c r="Q82" s="729">
        <v>290971</v>
      </c>
      <c r="R82" s="732">
        <v>146705</v>
      </c>
      <c r="S82" s="731" t="s">
        <v>800</v>
      </c>
      <c r="T82" s="729">
        <v>0</v>
      </c>
      <c r="U82" s="732">
        <v>8672</v>
      </c>
      <c r="V82" s="773">
        <f t="shared" si="4"/>
        <v>2686385</v>
      </c>
      <c r="W82" s="770">
        <f t="shared" si="5"/>
        <v>4749118</v>
      </c>
    </row>
    <row r="83" spans="1:23" ht="26.25">
      <c r="A83" s="731" t="s">
        <v>801</v>
      </c>
      <c r="B83" s="729">
        <v>5000000</v>
      </c>
      <c r="C83" s="732">
        <v>5000000</v>
      </c>
      <c r="D83" s="731" t="s">
        <v>801</v>
      </c>
      <c r="E83" s="729">
        <v>0</v>
      </c>
      <c r="F83" s="732">
        <v>0</v>
      </c>
      <c r="G83" s="731" t="s">
        <v>801</v>
      </c>
      <c r="H83" s="729">
        <v>0</v>
      </c>
      <c r="I83" s="732">
        <v>0</v>
      </c>
      <c r="J83" s="731" t="s">
        <v>801</v>
      </c>
      <c r="K83" s="729">
        <v>0</v>
      </c>
      <c r="L83" s="732">
        <v>0</v>
      </c>
      <c r="M83" s="731" t="s">
        <v>801</v>
      </c>
      <c r="N83" s="729">
        <v>0</v>
      </c>
      <c r="O83" s="732">
        <v>0</v>
      </c>
      <c r="P83" s="731" t="s">
        <v>801</v>
      </c>
      <c r="Q83" s="729">
        <v>0</v>
      </c>
      <c r="R83" s="732">
        <v>0</v>
      </c>
      <c r="S83" s="731" t="s">
        <v>801</v>
      </c>
      <c r="T83" s="729">
        <v>0</v>
      </c>
      <c r="U83" s="732">
        <v>0</v>
      </c>
      <c r="V83" s="773">
        <f t="shared" si="4"/>
        <v>5000000</v>
      </c>
      <c r="W83" s="770">
        <f t="shared" si="5"/>
        <v>5000000</v>
      </c>
    </row>
    <row r="84" spans="1:23" ht="26.25">
      <c r="A84" s="731" t="s">
        <v>924</v>
      </c>
      <c r="B84" s="729">
        <v>1207135</v>
      </c>
      <c r="C84" s="732">
        <v>0</v>
      </c>
      <c r="D84" s="731" t="s">
        <v>924</v>
      </c>
      <c r="E84" s="729">
        <v>0</v>
      </c>
      <c r="F84" s="732">
        <v>0</v>
      </c>
      <c r="G84" s="731" t="s">
        <v>924</v>
      </c>
      <c r="H84" s="729">
        <v>0</v>
      </c>
      <c r="I84" s="732">
        <v>282321</v>
      </c>
      <c r="J84" s="731" t="s">
        <v>924</v>
      </c>
      <c r="K84" s="729">
        <v>17577</v>
      </c>
      <c r="L84" s="732">
        <v>0</v>
      </c>
      <c r="M84" s="731" t="s">
        <v>924</v>
      </c>
      <c r="N84" s="729">
        <v>0</v>
      </c>
      <c r="O84" s="732">
        <v>72411</v>
      </c>
      <c r="P84" s="731" t="s">
        <v>924</v>
      </c>
      <c r="Q84" s="729">
        <v>0</v>
      </c>
      <c r="R84" s="732">
        <v>0</v>
      </c>
      <c r="S84" s="731" t="s">
        <v>924</v>
      </c>
      <c r="T84" s="729">
        <v>0</v>
      </c>
      <c r="U84" s="732">
        <v>0</v>
      </c>
      <c r="V84" s="773">
        <f t="shared" si="4"/>
        <v>1224712</v>
      </c>
      <c r="W84" s="770">
        <f t="shared" si="5"/>
        <v>354732</v>
      </c>
    </row>
    <row r="85" spans="1:23" ht="39">
      <c r="A85" s="731" t="s">
        <v>802</v>
      </c>
      <c r="B85" s="729">
        <v>3000000</v>
      </c>
      <c r="C85" s="732">
        <v>14643218</v>
      </c>
      <c r="D85" s="731" t="s">
        <v>802</v>
      </c>
      <c r="E85" s="729">
        <v>0</v>
      </c>
      <c r="F85" s="732">
        <v>0</v>
      </c>
      <c r="G85" s="731" t="s">
        <v>802</v>
      </c>
      <c r="H85" s="729">
        <v>0</v>
      </c>
      <c r="I85" s="732">
        <v>0</v>
      </c>
      <c r="J85" s="731" t="s">
        <v>802</v>
      </c>
      <c r="K85" s="729">
        <v>0</v>
      </c>
      <c r="L85" s="732">
        <v>0</v>
      </c>
      <c r="M85" s="731" t="s">
        <v>802</v>
      </c>
      <c r="N85" s="729">
        <v>0</v>
      </c>
      <c r="O85" s="732">
        <v>0</v>
      </c>
      <c r="P85" s="731" t="s">
        <v>802</v>
      </c>
      <c r="Q85" s="729">
        <v>0</v>
      </c>
      <c r="R85" s="732">
        <v>0</v>
      </c>
      <c r="S85" s="731" t="s">
        <v>802</v>
      </c>
      <c r="T85" s="729">
        <v>0</v>
      </c>
      <c r="U85" s="732">
        <v>0</v>
      </c>
      <c r="V85" s="773">
        <f t="shared" si="4"/>
        <v>3000000</v>
      </c>
      <c r="W85" s="770">
        <f t="shared" si="5"/>
        <v>14643218</v>
      </c>
    </row>
    <row r="86" spans="1:23" ht="26.25">
      <c r="A86" s="733" t="s">
        <v>803</v>
      </c>
      <c r="B86" s="730">
        <v>9207135</v>
      </c>
      <c r="C86" s="734">
        <v>20210867</v>
      </c>
      <c r="D86" s="733" t="s">
        <v>803</v>
      </c>
      <c r="E86" s="730">
        <v>0</v>
      </c>
      <c r="F86" s="734">
        <v>1654820</v>
      </c>
      <c r="G86" s="733" t="s">
        <v>803</v>
      </c>
      <c r="H86" s="730">
        <v>0</v>
      </c>
      <c r="I86" s="734">
        <v>353314</v>
      </c>
      <c r="J86" s="733" t="s">
        <v>803</v>
      </c>
      <c r="K86" s="730">
        <v>2367271</v>
      </c>
      <c r="L86" s="734">
        <v>1670259</v>
      </c>
      <c r="M86" s="733" t="s">
        <v>803</v>
      </c>
      <c r="N86" s="730">
        <v>45720</v>
      </c>
      <c r="O86" s="734">
        <v>702431</v>
      </c>
      <c r="P86" s="733" t="s">
        <v>803</v>
      </c>
      <c r="Q86" s="730">
        <v>290971</v>
      </c>
      <c r="R86" s="734">
        <v>1421705</v>
      </c>
      <c r="S86" s="733" t="s">
        <v>803</v>
      </c>
      <c r="T86" s="730">
        <v>0</v>
      </c>
      <c r="U86" s="734">
        <v>8672</v>
      </c>
      <c r="V86" s="774">
        <f aca="true" t="shared" si="6" ref="V86:V104">B86+E86+H86+K86+N86+Q86+T86</f>
        <v>11911097</v>
      </c>
      <c r="W86" s="771">
        <f aca="true" t="shared" si="7" ref="W86:W104">C86+F86+I86+L86+O86+R86+U86</f>
        <v>26022068</v>
      </c>
    </row>
    <row r="87" spans="1:23" ht="39">
      <c r="A87" s="731" t="s">
        <v>925</v>
      </c>
      <c r="B87" s="729">
        <v>0</v>
      </c>
      <c r="C87" s="732">
        <v>0</v>
      </c>
      <c r="D87" s="731" t="s">
        <v>925</v>
      </c>
      <c r="E87" s="729">
        <v>0</v>
      </c>
      <c r="F87" s="732">
        <v>669500</v>
      </c>
      <c r="G87" s="731" t="s">
        <v>925</v>
      </c>
      <c r="H87" s="729">
        <v>0</v>
      </c>
      <c r="I87" s="732">
        <v>0</v>
      </c>
      <c r="J87" s="731" t="s">
        <v>925</v>
      </c>
      <c r="K87" s="729">
        <v>0</v>
      </c>
      <c r="L87" s="732">
        <v>0</v>
      </c>
      <c r="M87" s="731" t="s">
        <v>925</v>
      </c>
      <c r="N87" s="729">
        <v>0</v>
      </c>
      <c r="O87" s="732">
        <v>0</v>
      </c>
      <c r="P87" s="731" t="s">
        <v>925</v>
      </c>
      <c r="Q87" s="729">
        <v>0</v>
      </c>
      <c r="R87" s="732">
        <v>0</v>
      </c>
      <c r="S87" s="731" t="s">
        <v>925</v>
      </c>
      <c r="T87" s="729">
        <v>0</v>
      </c>
      <c r="U87" s="732">
        <v>0</v>
      </c>
      <c r="V87" s="773">
        <f t="shared" si="6"/>
        <v>0</v>
      </c>
      <c r="W87" s="770">
        <f t="shared" si="7"/>
        <v>669500</v>
      </c>
    </row>
    <row r="88" spans="1:23" ht="26.25">
      <c r="A88" s="731" t="s">
        <v>804</v>
      </c>
      <c r="B88" s="729">
        <v>9304372</v>
      </c>
      <c r="C88" s="732">
        <v>4502685</v>
      </c>
      <c r="D88" s="731" t="s">
        <v>804</v>
      </c>
      <c r="E88" s="729">
        <v>858186</v>
      </c>
      <c r="F88" s="732">
        <v>1173782</v>
      </c>
      <c r="G88" s="731" t="s">
        <v>804</v>
      </c>
      <c r="H88" s="729">
        <v>104812</v>
      </c>
      <c r="I88" s="732">
        <v>83807</v>
      </c>
      <c r="J88" s="731" t="s">
        <v>804</v>
      </c>
      <c r="K88" s="729">
        <v>1217385</v>
      </c>
      <c r="L88" s="732">
        <v>9260699</v>
      </c>
      <c r="M88" s="731" t="s">
        <v>804</v>
      </c>
      <c r="N88" s="729">
        <v>246253</v>
      </c>
      <c r="O88" s="732">
        <v>1646654</v>
      </c>
      <c r="P88" s="731" t="s">
        <v>804</v>
      </c>
      <c r="Q88" s="729">
        <v>251896</v>
      </c>
      <c r="R88" s="732">
        <v>1328031</v>
      </c>
      <c r="S88" s="731" t="s">
        <v>804</v>
      </c>
      <c r="T88" s="729">
        <v>0</v>
      </c>
      <c r="U88" s="732">
        <v>0</v>
      </c>
      <c r="V88" s="773">
        <f t="shared" si="6"/>
        <v>11982904</v>
      </c>
      <c r="W88" s="770">
        <f t="shared" si="7"/>
        <v>17995658</v>
      </c>
    </row>
    <row r="89" spans="1:23" ht="26.25">
      <c r="A89" s="731" t="s">
        <v>805</v>
      </c>
      <c r="B89" s="729">
        <v>594695</v>
      </c>
      <c r="C89" s="732">
        <v>217628</v>
      </c>
      <c r="D89" s="731" t="s">
        <v>805</v>
      </c>
      <c r="E89" s="729">
        <v>0</v>
      </c>
      <c r="F89" s="732">
        <v>0</v>
      </c>
      <c r="G89" s="731" t="s">
        <v>805</v>
      </c>
      <c r="H89" s="729">
        <v>0</v>
      </c>
      <c r="I89" s="732">
        <v>0</v>
      </c>
      <c r="J89" s="731" t="s">
        <v>805</v>
      </c>
      <c r="K89" s="729">
        <v>0</v>
      </c>
      <c r="L89" s="732">
        <v>0</v>
      </c>
      <c r="M89" s="731" t="s">
        <v>805</v>
      </c>
      <c r="N89" s="729">
        <v>0</v>
      </c>
      <c r="O89" s="732">
        <v>0</v>
      </c>
      <c r="P89" s="731" t="s">
        <v>805</v>
      </c>
      <c r="Q89" s="729">
        <v>0</v>
      </c>
      <c r="R89" s="732">
        <v>0</v>
      </c>
      <c r="S89" s="731" t="s">
        <v>805</v>
      </c>
      <c r="T89" s="729">
        <v>0</v>
      </c>
      <c r="U89" s="732">
        <v>0</v>
      </c>
      <c r="V89" s="773">
        <f t="shared" si="6"/>
        <v>594695</v>
      </c>
      <c r="W89" s="770">
        <f t="shared" si="7"/>
        <v>217628</v>
      </c>
    </row>
    <row r="90" spans="1:23" ht="39">
      <c r="A90" s="731" t="s">
        <v>806</v>
      </c>
      <c r="B90" s="729">
        <v>10913117</v>
      </c>
      <c r="C90" s="732">
        <v>90000</v>
      </c>
      <c r="D90" s="731" t="s">
        <v>806</v>
      </c>
      <c r="E90" s="729">
        <v>0</v>
      </c>
      <c r="F90" s="732">
        <v>0</v>
      </c>
      <c r="G90" s="731" t="s">
        <v>806</v>
      </c>
      <c r="H90" s="729">
        <v>0</v>
      </c>
      <c r="I90" s="732">
        <v>0</v>
      </c>
      <c r="J90" s="731" t="s">
        <v>806</v>
      </c>
      <c r="K90" s="729">
        <v>0</v>
      </c>
      <c r="L90" s="732">
        <v>0</v>
      </c>
      <c r="M90" s="731" t="s">
        <v>806</v>
      </c>
      <c r="N90" s="729">
        <v>0</v>
      </c>
      <c r="O90" s="732">
        <v>0</v>
      </c>
      <c r="P90" s="731" t="s">
        <v>806</v>
      </c>
      <c r="Q90" s="729">
        <v>0</v>
      </c>
      <c r="R90" s="732">
        <v>0</v>
      </c>
      <c r="S90" s="731" t="s">
        <v>806</v>
      </c>
      <c r="T90" s="729">
        <v>0</v>
      </c>
      <c r="U90" s="732">
        <v>0</v>
      </c>
      <c r="V90" s="773">
        <f t="shared" si="6"/>
        <v>10913117</v>
      </c>
      <c r="W90" s="770">
        <f t="shared" si="7"/>
        <v>90000</v>
      </c>
    </row>
    <row r="91" spans="1:23" ht="39">
      <c r="A91" s="731" t="s">
        <v>807</v>
      </c>
      <c r="B91" s="729">
        <v>27897658</v>
      </c>
      <c r="C91" s="732">
        <v>31546970</v>
      </c>
      <c r="D91" s="731" t="s">
        <v>807</v>
      </c>
      <c r="E91" s="729">
        <v>0</v>
      </c>
      <c r="F91" s="732">
        <v>0</v>
      </c>
      <c r="G91" s="731" t="s">
        <v>807</v>
      </c>
      <c r="H91" s="729">
        <v>0</v>
      </c>
      <c r="I91" s="732">
        <v>0</v>
      </c>
      <c r="J91" s="731" t="s">
        <v>807</v>
      </c>
      <c r="K91" s="729">
        <v>0</v>
      </c>
      <c r="L91" s="732">
        <v>0</v>
      </c>
      <c r="M91" s="731" t="s">
        <v>807</v>
      </c>
      <c r="N91" s="729">
        <v>0</v>
      </c>
      <c r="O91" s="732">
        <v>0</v>
      </c>
      <c r="P91" s="731" t="s">
        <v>807</v>
      </c>
      <c r="Q91" s="729">
        <v>0</v>
      </c>
      <c r="R91" s="732">
        <v>0</v>
      </c>
      <c r="S91" s="731" t="s">
        <v>807</v>
      </c>
      <c r="T91" s="729">
        <v>0</v>
      </c>
      <c r="U91" s="732">
        <v>0</v>
      </c>
      <c r="V91" s="773">
        <f t="shared" si="6"/>
        <v>27897658</v>
      </c>
      <c r="W91" s="770">
        <f t="shared" si="7"/>
        <v>31546970</v>
      </c>
    </row>
    <row r="92" spans="1:23" ht="39">
      <c r="A92" s="731" t="s">
        <v>808</v>
      </c>
      <c r="B92" s="729">
        <v>27897658</v>
      </c>
      <c r="C92" s="732">
        <v>31546970</v>
      </c>
      <c r="D92" s="731" t="s">
        <v>808</v>
      </c>
      <c r="E92" s="729">
        <v>0</v>
      </c>
      <c r="F92" s="732">
        <v>0</v>
      </c>
      <c r="G92" s="731" t="s">
        <v>808</v>
      </c>
      <c r="H92" s="729">
        <v>0</v>
      </c>
      <c r="I92" s="732">
        <v>0</v>
      </c>
      <c r="J92" s="731" t="s">
        <v>808</v>
      </c>
      <c r="K92" s="729">
        <v>0</v>
      </c>
      <c r="L92" s="732">
        <v>0</v>
      </c>
      <c r="M92" s="731" t="s">
        <v>808</v>
      </c>
      <c r="N92" s="729">
        <v>0</v>
      </c>
      <c r="O92" s="732">
        <v>0</v>
      </c>
      <c r="P92" s="731" t="s">
        <v>808</v>
      </c>
      <c r="Q92" s="729">
        <v>0</v>
      </c>
      <c r="R92" s="732">
        <v>0</v>
      </c>
      <c r="S92" s="731" t="s">
        <v>808</v>
      </c>
      <c r="T92" s="729">
        <v>0</v>
      </c>
      <c r="U92" s="732">
        <v>0</v>
      </c>
      <c r="V92" s="773">
        <f t="shared" si="6"/>
        <v>27897658</v>
      </c>
      <c r="W92" s="770">
        <f t="shared" si="7"/>
        <v>31546970</v>
      </c>
    </row>
    <row r="93" spans="1:23" ht="26.25">
      <c r="A93" s="733" t="s">
        <v>809</v>
      </c>
      <c r="B93" s="730">
        <v>50729142</v>
      </c>
      <c r="C93" s="734">
        <v>36357283</v>
      </c>
      <c r="D93" s="733" t="s">
        <v>809</v>
      </c>
      <c r="E93" s="730">
        <v>858186</v>
      </c>
      <c r="F93" s="734">
        <v>1843282</v>
      </c>
      <c r="G93" s="733" t="s">
        <v>809</v>
      </c>
      <c r="H93" s="730">
        <v>104812</v>
      </c>
      <c r="I93" s="734">
        <v>83807</v>
      </c>
      <c r="J93" s="733" t="s">
        <v>809</v>
      </c>
      <c r="K93" s="730">
        <v>1217385</v>
      </c>
      <c r="L93" s="734">
        <v>9260699</v>
      </c>
      <c r="M93" s="733" t="s">
        <v>809</v>
      </c>
      <c r="N93" s="730">
        <v>246253</v>
      </c>
      <c r="O93" s="734">
        <v>1646654</v>
      </c>
      <c r="P93" s="733" t="s">
        <v>809</v>
      </c>
      <c r="Q93" s="730">
        <v>251896</v>
      </c>
      <c r="R93" s="734">
        <v>1328031</v>
      </c>
      <c r="S93" s="733" t="s">
        <v>809</v>
      </c>
      <c r="T93" s="730">
        <v>0</v>
      </c>
      <c r="U93" s="734">
        <v>0</v>
      </c>
      <c r="V93" s="774">
        <f t="shared" si="6"/>
        <v>53407674</v>
      </c>
      <c r="W93" s="771">
        <f t="shared" si="7"/>
        <v>50519756</v>
      </c>
    </row>
    <row r="94" spans="1:23" ht="12.75">
      <c r="A94" s="731" t="s">
        <v>810</v>
      </c>
      <c r="B94" s="729">
        <v>49077388</v>
      </c>
      <c r="C94" s="732">
        <v>57408682</v>
      </c>
      <c r="D94" s="731" t="s">
        <v>810</v>
      </c>
      <c r="E94" s="729">
        <v>0</v>
      </c>
      <c r="F94" s="732">
        <v>3000</v>
      </c>
      <c r="G94" s="731" t="s">
        <v>810</v>
      </c>
      <c r="H94" s="729">
        <v>0</v>
      </c>
      <c r="I94" s="732">
        <v>0</v>
      </c>
      <c r="J94" s="731" t="s">
        <v>810</v>
      </c>
      <c r="K94" s="729">
        <v>4973052</v>
      </c>
      <c r="L94" s="732">
        <v>9123581</v>
      </c>
      <c r="M94" s="731" t="s">
        <v>810</v>
      </c>
      <c r="N94" s="729">
        <v>753780</v>
      </c>
      <c r="O94" s="732">
        <v>753780</v>
      </c>
      <c r="P94" s="731" t="s">
        <v>810</v>
      </c>
      <c r="Q94" s="729">
        <v>0</v>
      </c>
      <c r="R94" s="732">
        <v>0</v>
      </c>
      <c r="S94" s="731" t="s">
        <v>810</v>
      </c>
      <c r="T94" s="729">
        <v>0</v>
      </c>
      <c r="U94" s="732">
        <v>0</v>
      </c>
      <c r="V94" s="773">
        <f t="shared" si="6"/>
        <v>54804220</v>
      </c>
      <c r="W94" s="770">
        <f t="shared" si="7"/>
        <v>67289043</v>
      </c>
    </row>
    <row r="95" spans="1:23" ht="26.25">
      <c r="A95" s="731" t="s">
        <v>811</v>
      </c>
      <c r="B95" s="729">
        <v>0</v>
      </c>
      <c r="C95" s="732">
        <v>162540</v>
      </c>
      <c r="D95" s="731" t="s">
        <v>811</v>
      </c>
      <c r="E95" s="729">
        <v>0</v>
      </c>
      <c r="F95" s="732">
        <v>0</v>
      </c>
      <c r="G95" s="731" t="s">
        <v>811</v>
      </c>
      <c r="H95" s="729">
        <v>0</v>
      </c>
      <c r="I95" s="732">
        <v>0</v>
      </c>
      <c r="J95" s="731" t="s">
        <v>811</v>
      </c>
      <c r="K95" s="729">
        <v>0</v>
      </c>
      <c r="L95" s="732">
        <v>0</v>
      </c>
      <c r="M95" s="731" t="s">
        <v>811</v>
      </c>
      <c r="N95" s="729">
        <v>0</v>
      </c>
      <c r="O95" s="732">
        <v>0</v>
      </c>
      <c r="P95" s="731" t="s">
        <v>811</v>
      </c>
      <c r="Q95" s="729">
        <v>0</v>
      </c>
      <c r="R95" s="732">
        <v>0</v>
      </c>
      <c r="S95" s="731" t="s">
        <v>811</v>
      </c>
      <c r="T95" s="729">
        <v>0</v>
      </c>
      <c r="U95" s="732">
        <v>0</v>
      </c>
      <c r="V95" s="773">
        <f t="shared" si="6"/>
        <v>0</v>
      </c>
      <c r="W95" s="770">
        <f t="shared" si="7"/>
        <v>162540</v>
      </c>
    </row>
    <row r="96" spans="1:23" ht="26.25">
      <c r="A96" s="731" t="s">
        <v>812</v>
      </c>
      <c r="B96" s="729">
        <v>11455139</v>
      </c>
      <c r="C96" s="732">
        <v>16496380</v>
      </c>
      <c r="D96" s="731" t="s">
        <v>812</v>
      </c>
      <c r="E96" s="729">
        <v>0</v>
      </c>
      <c r="F96" s="732">
        <v>0</v>
      </c>
      <c r="G96" s="731" t="s">
        <v>812</v>
      </c>
      <c r="H96" s="729">
        <v>0</v>
      </c>
      <c r="I96" s="732">
        <v>0</v>
      </c>
      <c r="J96" s="731" t="s">
        <v>812</v>
      </c>
      <c r="K96" s="729">
        <v>0</v>
      </c>
      <c r="L96" s="732">
        <v>0</v>
      </c>
      <c r="M96" s="731" t="s">
        <v>812</v>
      </c>
      <c r="N96" s="729">
        <v>0</v>
      </c>
      <c r="O96" s="732">
        <v>0</v>
      </c>
      <c r="P96" s="731" t="s">
        <v>812</v>
      </c>
      <c r="Q96" s="729">
        <v>0</v>
      </c>
      <c r="R96" s="732">
        <v>0</v>
      </c>
      <c r="S96" s="731" t="s">
        <v>812</v>
      </c>
      <c r="T96" s="729">
        <v>0</v>
      </c>
      <c r="U96" s="732">
        <v>0</v>
      </c>
      <c r="V96" s="773">
        <f t="shared" si="6"/>
        <v>11455139</v>
      </c>
      <c r="W96" s="770">
        <f t="shared" si="7"/>
        <v>16496380</v>
      </c>
    </row>
    <row r="97" spans="1:23" ht="26.25">
      <c r="A97" s="733" t="s">
        <v>813</v>
      </c>
      <c r="B97" s="730">
        <v>60532527</v>
      </c>
      <c r="C97" s="734">
        <v>74067602</v>
      </c>
      <c r="D97" s="733" t="s">
        <v>813</v>
      </c>
      <c r="E97" s="730">
        <v>0</v>
      </c>
      <c r="F97" s="734">
        <v>3000</v>
      </c>
      <c r="G97" s="733" t="s">
        <v>813</v>
      </c>
      <c r="H97" s="730">
        <v>0</v>
      </c>
      <c r="I97" s="734">
        <v>0</v>
      </c>
      <c r="J97" s="733" t="s">
        <v>813</v>
      </c>
      <c r="K97" s="730">
        <v>4973052</v>
      </c>
      <c r="L97" s="734">
        <v>9123581</v>
      </c>
      <c r="M97" s="733" t="s">
        <v>813</v>
      </c>
      <c r="N97" s="730">
        <v>753780</v>
      </c>
      <c r="O97" s="734">
        <v>753780</v>
      </c>
      <c r="P97" s="733" t="s">
        <v>813</v>
      </c>
      <c r="Q97" s="730">
        <v>0</v>
      </c>
      <c r="R97" s="734">
        <v>0</v>
      </c>
      <c r="S97" s="733" t="s">
        <v>813</v>
      </c>
      <c r="T97" s="730">
        <v>0</v>
      </c>
      <c r="U97" s="734">
        <v>0</v>
      </c>
      <c r="V97" s="774">
        <f t="shared" si="6"/>
        <v>66259359</v>
      </c>
      <c r="W97" s="771">
        <f t="shared" si="7"/>
        <v>83947963</v>
      </c>
    </row>
    <row r="98" spans="1:23" ht="12.75">
      <c r="A98" s="733" t="s">
        <v>814</v>
      </c>
      <c r="B98" s="730">
        <v>120468804</v>
      </c>
      <c r="C98" s="734">
        <v>130635752</v>
      </c>
      <c r="D98" s="733" t="s">
        <v>814</v>
      </c>
      <c r="E98" s="730">
        <v>858186</v>
      </c>
      <c r="F98" s="734">
        <v>3501102</v>
      </c>
      <c r="G98" s="733" t="s">
        <v>814</v>
      </c>
      <c r="H98" s="730">
        <v>104812</v>
      </c>
      <c r="I98" s="734">
        <v>437121</v>
      </c>
      <c r="J98" s="733" t="s">
        <v>814</v>
      </c>
      <c r="K98" s="730">
        <v>8557708</v>
      </c>
      <c r="L98" s="734">
        <v>20054539</v>
      </c>
      <c r="M98" s="733" t="s">
        <v>814</v>
      </c>
      <c r="N98" s="730">
        <v>1045753</v>
      </c>
      <c r="O98" s="734">
        <v>3102865</v>
      </c>
      <c r="P98" s="733" t="s">
        <v>814</v>
      </c>
      <c r="Q98" s="730">
        <v>542867</v>
      </c>
      <c r="R98" s="734">
        <v>2749736</v>
      </c>
      <c r="S98" s="733" t="s">
        <v>814</v>
      </c>
      <c r="T98" s="730">
        <v>0</v>
      </c>
      <c r="U98" s="734">
        <v>8672</v>
      </c>
      <c r="V98" s="774">
        <f t="shared" si="6"/>
        <v>131578130</v>
      </c>
      <c r="W98" s="771">
        <f t="shared" si="7"/>
        <v>160489787</v>
      </c>
    </row>
    <row r="99" spans="1:23" ht="26.25">
      <c r="A99" s="733" t="s">
        <v>605</v>
      </c>
      <c r="B99" s="730">
        <v>0</v>
      </c>
      <c r="C99" s="734">
        <v>0</v>
      </c>
      <c r="D99" s="733" t="s">
        <v>605</v>
      </c>
      <c r="E99" s="730">
        <v>0</v>
      </c>
      <c r="F99" s="734">
        <v>0</v>
      </c>
      <c r="G99" s="733" t="s">
        <v>605</v>
      </c>
      <c r="H99" s="730">
        <v>0</v>
      </c>
      <c r="I99" s="734">
        <v>0</v>
      </c>
      <c r="J99" s="733" t="s">
        <v>605</v>
      </c>
      <c r="K99" s="730">
        <v>0</v>
      </c>
      <c r="L99" s="734">
        <v>0</v>
      </c>
      <c r="M99" s="733" t="s">
        <v>605</v>
      </c>
      <c r="N99" s="730">
        <v>0</v>
      </c>
      <c r="O99" s="734">
        <v>0</v>
      </c>
      <c r="P99" s="733" t="s">
        <v>605</v>
      </c>
      <c r="Q99" s="730">
        <v>0</v>
      </c>
      <c r="R99" s="734">
        <v>0</v>
      </c>
      <c r="S99" s="733" t="s">
        <v>605</v>
      </c>
      <c r="T99" s="730">
        <v>0</v>
      </c>
      <c r="U99" s="734">
        <v>0</v>
      </c>
      <c r="V99" s="773">
        <f t="shared" si="6"/>
        <v>0</v>
      </c>
      <c r="W99" s="770">
        <f t="shared" si="7"/>
        <v>0</v>
      </c>
    </row>
    <row r="100" spans="1:23" ht="26.25">
      <c r="A100" s="731" t="s">
        <v>926</v>
      </c>
      <c r="B100" s="729">
        <v>0</v>
      </c>
      <c r="C100" s="732">
        <v>0</v>
      </c>
      <c r="D100" s="731" t="s">
        <v>926</v>
      </c>
      <c r="E100" s="729">
        <v>0</v>
      </c>
      <c r="F100" s="732">
        <v>0</v>
      </c>
      <c r="G100" s="731" t="s">
        <v>926</v>
      </c>
      <c r="H100" s="729">
        <v>0</v>
      </c>
      <c r="I100" s="732">
        <v>0</v>
      </c>
      <c r="J100" s="731" t="s">
        <v>926</v>
      </c>
      <c r="K100" s="729">
        <v>0</v>
      </c>
      <c r="L100" s="732">
        <v>0</v>
      </c>
      <c r="M100" s="731" t="s">
        <v>926</v>
      </c>
      <c r="N100" s="729">
        <v>0</v>
      </c>
      <c r="O100" s="732">
        <v>0</v>
      </c>
      <c r="P100" s="731" t="s">
        <v>926</v>
      </c>
      <c r="Q100" s="729">
        <v>0</v>
      </c>
      <c r="R100" s="732">
        <v>0</v>
      </c>
      <c r="S100" s="731" t="s">
        <v>926</v>
      </c>
      <c r="T100" s="729">
        <v>0</v>
      </c>
      <c r="U100" s="732">
        <v>0</v>
      </c>
      <c r="V100" s="773">
        <f t="shared" si="6"/>
        <v>0</v>
      </c>
      <c r="W100" s="770">
        <f t="shared" si="7"/>
        <v>0</v>
      </c>
    </row>
    <row r="101" spans="1:23" ht="26.25">
      <c r="A101" s="731" t="s">
        <v>815</v>
      </c>
      <c r="B101" s="729">
        <v>4433296</v>
      </c>
      <c r="C101" s="732">
        <v>5452155</v>
      </c>
      <c r="D101" s="731" t="s">
        <v>815</v>
      </c>
      <c r="E101" s="729">
        <v>8943696</v>
      </c>
      <c r="F101" s="732">
        <v>11244755</v>
      </c>
      <c r="G101" s="731" t="s">
        <v>815</v>
      </c>
      <c r="H101" s="729">
        <v>4326101</v>
      </c>
      <c r="I101" s="732">
        <v>5077496</v>
      </c>
      <c r="J101" s="731" t="s">
        <v>815</v>
      </c>
      <c r="K101" s="729">
        <v>16737606</v>
      </c>
      <c r="L101" s="732">
        <v>17377815</v>
      </c>
      <c r="M101" s="731" t="s">
        <v>815</v>
      </c>
      <c r="N101" s="729">
        <v>3329575</v>
      </c>
      <c r="O101" s="732">
        <v>3636642</v>
      </c>
      <c r="P101" s="731" t="s">
        <v>815</v>
      </c>
      <c r="Q101" s="729">
        <v>26786783</v>
      </c>
      <c r="R101" s="732">
        <v>23470108</v>
      </c>
      <c r="S101" s="731" t="s">
        <v>815</v>
      </c>
      <c r="T101" s="729">
        <v>0</v>
      </c>
      <c r="U101" s="732">
        <v>434691</v>
      </c>
      <c r="V101" s="773">
        <f t="shared" si="6"/>
        <v>64557057</v>
      </c>
      <c r="W101" s="770">
        <f t="shared" si="7"/>
        <v>66693662</v>
      </c>
    </row>
    <row r="102" spans="1:23" ht="12.75">
      <c r="A102" s="731" t="s">
        <v>816</v>
      </c>
      <c r="B102" s="729">
        <v>3225171341</v>
      </c>
      <c r="C102" s="732">
        <v>3225171341</v>
      </c>
      <c r="D102" s="731" t="s">
        <v>816</v>
      </c>
      <c r="E102" s="729">
        <v>0</v>
      </c>
      <c r="F102" s="732">
        <v>0</v>
      </c>
      <c r="G102" s="731" t="s">
        <v>816</v>
      </c>
      <c r="H102" s="729">
        <v>1745254</v>
      </c>
      <c r="I102" s="732">
        <v>1745254</v>
      </c>
      <c r="J102" s="731" t="s">
        <v>816</v>
      </c>
      <c r="K102" s="729">
        <v>0</v>
      </c>
      <c r="L102" s="732">
        <v>0</v>
      </c>
      <c r="M102" s="731" t="s">
        <v>816</v>
      </c>
      <c r="N102" s="729">
        <v>0</v>
      </c>
      <c r="O102" s="732">
        <v>0</v>
      </c>
      <c r="P102" s="731" t="s">
        <v>816</v>
      </c>
      <c r="Q102" s="729">
        <v>0</v>
      </c>
      <c r="R102" s="732">
        <v>0</v>
      </c>
      <c r="S102" s="731" t="s">
        <v>816</v>
      </c>
      <c r="T102" s="729">
        <v>0</v>
      </c>
      <c r="U102" s="732">
        <v>0</v>
      </c>
      <c r="V102" s="773">
        <f t="shared" si="6"/>
        <v>3226916595</v>
      </c>
      <c r="W102" s="770">
        <f t="shared" si="7"/>
        <v>3226916595</v>
      </c>
    </row>
    <row r="103" spans="1:23" ht="26.25">
      <c r="A103" s="733" t="s">
        <v>817</v>
      </c>
      <c r="B103" s="730">
        <v>3229604637</v>
      </c>
      <c r="C103" s="734">
        <v>3230623496</v>
      </c>
      <c r="D103" s="733" t="s">
        <v>817</v>
      </c>
      <c r="E103" s="730">
        <v>8943696</v>
      </c>
      <c r="F103" s="734">
        <v>11244755</v>
      </c>
      <c r="G103" s="733" t="s">
        <v>817</v>
      </c>
      <c r="H103" s="730">
        <v>6071355</v>
      </c>
      <c r="I103" s="734">
        <v>6822750</v>
      </c>
      <c r="J103" s="733" t="s">
        <v>817</v>
      </c>
      <c r="K103" s="730">
        <v>16737606</v>
      </c>
      <c r="L103" s="734">
        <v>17377815</v>
      </c>
      <c r="M103" s="733" t="s">
        <v>817</v>
      </c>
      <c r="N103" s="730">
        <v>3329575</v>
      </c>
      <c r="O103" s="734">
        <v>3636642</v>
      </c>
      <c r="P103" s="733" t="s">
        <v>817</v>
      </c>
      <c r="Q103" s="730">
        <v>26786783</v>
      </c>
      <c r="R103" s="734">
        <v>23470108</v>
      </c>
      <c r="S103" s="733" t="s">
        <v>817</v>
      </c>
      <c r="T103" s="730">
        <v>0</v>
      </c>
      <c r="U103" s="734">
        <v>434691</v>
      </c>
      <c r="V103" s="774">
        <f t="shared" si="6"/>
        <v>3291473652</v>
      </c>
      <c r="W103" s="771">
        <f t="shared" si="7"/>
        <v>3293610257</v>
      </c>
    </row>
    <row r="104" spans="1:23" ht="13.5" thickBot="1">
      <c r="A104" s="735" t="s">
        <v>818</v>
      </c>
      <c r="B104" s="736">
        <v>12961980317</v>
      </c>
      <c r="C104" s="737">
        <v>13298542500</v>
      </c>
      <c r="D104" s="735" t="s">
        <v>818</v>
      </c>
      <c r="E104" s="736">
        <v>33836847</v>
      </c>
      <c r="F104" s="737">
        <v>30191965</v>
      </c>
      <c r="G104" s="735" t="s">
        <v>818</v>
      </c>
      <c r="H104" s="736">
        <v>6495406</v>
      </c>
      <c r="I104" s="737">
        <v>10295584</v>
      </c>
      <c r="J104" s="735" t="s">
        <v>818</v>
      </c>
      <c r="K104" s="736">
        <v>49752844</v>
      </c>
      <c r="L104" s="737">
        <v>74221333</v>
      </c>
      <c r="M104" s="735" t="s">
        <v>818</v>
      </c>
      <c r="N104" s="736">
        <v>2381234</v>
      </c>
      <c r="O104" s="737">
        <v>22756161</v>
      </c>
      <c r="P104" s="735" t="s">
        <v>818</v>
      </c>
      <c r="Q104" s="736">
        <v>8742990</v>
      </c>
      <c r="R104" s="737">
        <v>4179396</v>
      </c>
      <c r="S104" s="735" t="s">
        <v>818</v>
      </c>
      <c r="T104" s="736">
        <v>0</v>
      </c>
      <c r="U104" s="737">
        <v>240598</v>
      </c>
      <c r="V104" s="774">
        <f t="shared" si="6"/>
        <v>13063189638</v>
      </c>
      <c r="W104" s="771">
        <f t="shared" si="7"/>
        <v>13440427537</v>
      </c>
    </row>
  </sheetData>
  <sheetProtection/>
  <mergeCells count="8">
    <mergeCell ref="P1:R1"/>
    <mergeCell ref="V1:W1"/>
    <mergeCell ref="A1:C1"/>
    <mergeCell ref="D1:F1"/>
    <mergeCell ref="G1:I1"/>
    <mergeCell ref="J1:L1"/>
    <mergeCell ref="M1:O1"/>
    <mergeCell ref="S1:U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8" scale="37" r:id="rId1"/>
  <headerFooter alignWithMargins="0">
    <oddHeader>&amp;C&amp;"Times New Roman CE,Félkövér"&amp;12
Nagykáta Város  Önkormányzata
2019. ÉVI ZÁRSZÁMADÁSÁNAK PÉNZÜGYI MÉRLEGE&amp;10
&amp;R&amp;"Times New Roman CE,Félkövér dőlt"&amp;11 1. tájékoztató tábla a 7/2020. (VII.1.)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K18"/>
  <sheetViews>
    <sheetView workbookViewId="0" topLeftCell="A1">
      <selection activeCell="N14" sqref="N14"/>
    </sheetView>
  </sheetViews>
  <sheetFormatPr defaultColWidth="9.375" defaultRowHeight="12.75"/>
  <cols>
    <col min="1" max="1" width="6.75390625" style="4" customWidth="1"/>
    <col min="2" max="2" width="32.375" style="3" customWidth="1"/>
    <col min="3" max="3" width="17.00390625" style="3" customWidth="1"/>
    <col min="4" max="9" width="12.75390625" style="3" customWidth="1"/>
    <col min="10" max="10" width="13.75390625" style="3" customWidth="1"/>
    <col min="11" max="11" width="4.00390625" style="3" customWidth="1"/>
    <col min="12" max="16384" width="9.375" style="3" customWidth="1"/>
  </cols>
  <sheetData>
    <row r="1" spans="1:11" ht="18" thickBot="1">
      <c r="A1" s="103"/>
      <c r="B1" s="665" t="s">
        <v>870</v>
      </c>
      <c r="C1" s="104"/>
      <c r="D1" s="104"/>
      <c r="E1" s="104"/>
      <c r="F1" s="104"/>
      <c r="G1" s="104"/>
      <c r="H1" s="104"/>
      <c r="I1" s="104"/>
      <c r="J1" s="105" t="s">
        <v>678</v>
      </c>
      <c r="K1" s="722"/>
    </row>
    <row r="2" spans="1:11" s="109" customFormat="1" ht="26.25" customHeight="1">
      <c r="A2" s="956" t="s">
        <v>54</v>
      </c>
      <c r="B2" s="958" t="s">
        <v>181</v>
      </c>
      <c r="C2" s="958" t="s">
        <v>182</v>
      </c>
      <c r="D2" s="958" t="s">
        <v>183</v>
      </c>
      <c r="E2" s="958" t="str">
        <f>+CONCATENATE(LEFT(ÖSSZEFÜGGÉSEK!A4,4),". évi teljesítés")</f>
        <v>2019. évi teljesítés</v>
      </c>
      <c r="F2" s="106" t="s">
        <v>184</v>
      </c>
      <c r="G2" s="107"/>
      <c r="H2" s="107"/>
      <c r="I2" s="108"/>
      <c r="J2" s="961" t="s">
        <v>185</v>
      </c>
      <c r="K2" s="955" t="s">
        <v>894</v>
      </c>
    </row>
    <row r="3" spans="1:11" s="113" customFormat="1" ht="32.25" customHeight="1" thickBot="1">
      <c r="A3" s="957"/>
      <c r="B3" s="959"/>
      <c r="C3" s="959"/>
      <c r="D3" s="960"/>
      <c r="E3" s="960"/>
      <c r="F3" s="110" t="str">
        <f>+CONCATENATE(LEFT(ÖSSZEFÜGGÉSEK!A4,4)+1,".")</f>
        <v>2020.</v>
      </c>
      <c r="G3" s="111" t="str">
        <f>+CONCATENATE(LEFT(ÖSSZEFÜGGÉSEK!A4,4)+2,".")</f>
        <v>2021.</v>
      </c>
      <c r="H3" s="111" t="str">
        <f>+CONCATENATE(LEFT(ÖSSZEFÜGGÉSEK!A4,4)+3,".")</f>
        <v>2022.</v>
      </c>
      <c r="I3" s="112" t="str">
        <f>+CONCATENATE(LEFT(ÖSSZEFÜGGÉSEK!A4,4)+3,". után")</f>
        <v>2022. után</v>
      </c>
      <c r="J3" s="962"/>
      <c r="K3" s="955"/>
    </row>
    <row r="4" spans="1:11" s="115" customFormat="1" ht="13.5" customHeight="1" thickBot="1">
      <c r="A4" s="383" t="s">
        <v>372</v>
      </c>
      <c r="B4" s="114" t="s">
        <v>529</v>
      </c>
      <c r="C4" s="384" t="s">
        <v>374</v>
      </c>
      <c r="D4" s="384" t="s">
        <v>375</v>
      </c>
      <c r="E4" s="384" t="s">
        <v>376</v>
      </c>
      <c r="F4" s="384" t="s">
        <v>451</v>
      </c>
      <c r="G4" s="384" t="s">
        <v>452</v>
      </c>
      <c r="H4" s="384" t="s">
        <v>453</v>
      </c>
      <c r="I4" s="384" t="s">
        <v>454</v>
      </c>
      <c r="J4" s="385" t="s">
        <v>622</v>
      </c>
      <c r="K4" s="955"/>
    </row>
    <row r="5" spans="1:11" ht="33.75" customHeight="1">
      <c r="A5" s="116" t="s">
        <v>6</v>
      </c>
      <c r="B5" s="117" t="s">
        <v>186</v>
      </c>
      <c r="C5" s="118"/>
      <c r="D5" s="119">
        <f aca="true" t="shared" si="0" ref="D5:I5">SUM(D6:D7)</f>
        <v>0</v>
      </c>
      <c r="E5" s="119">
        <f t="shared" si="0"/>
        <v>0</v>
      </c>
      <c r="F5" s="119">
        <f t="shared" si="0"/>
        <v>0</v>
      </c>
      <c r="G5" s="119">
        <f t="shared" si="0"/>
        <v>0</v>
      </c>
      <c r="H5" s="119">
        <f t="shared" si="0"/>
        <v>0</v>
      </c>
      <c r="I5" s="120">
        <f t="shared" si="0"/>
        <v>0</v>
      </c>
      <c r="J5" s="121">
        <f aca="true" t="shared" si="1" ref="J5:J17">SUM(F5:I5)</f>
        <v>0</v>
      </c>
      <c r="K5" s="955"/>
    </row>
    <row r="6" spans="1:11" ht="12.75">
      <c r="A6" s="122" t="s">
        <v>7</v>
      </c>
      <c r="B6" s="123" t="s">
        <v>187</v>
      </c>
      <c r="C6" s="124"/>
      <c r="D6" s="2"/>
      <c r="E6" s="2"/>
      <c r="F6" s="2"/>
      <c r="G6" s="2"/>
      <c r="H6" s="2"/>
      <c r="I6" s="41"/>
      <c r="J6" s="125">
        <f t="shared" si="1"/>
        <v>0</v>
      </c>
      <c r="K6" s="955"/>
    </row>
    <row r="7" spans="1:11" ht="12.75">
      <c r="A7" s="122" t="s">
        <v>8</v>
      </c>
      <c r="B7" s="123" t="s">
        <v>187</v>
      </c>
      <c r="C7" s="124"/>
      <c r="D7" s="2"/>
      <c r="E7" s="2"/>
      <c r="F7" s="2"/>
      <c r="G7" s="2"/>
      <c r="H7" s="2"/>
      <c r="I7" s="41"/>
      <c r="J7" s="125">
        <f t="shared" si="1"/>
        <v>0</v>
      </c>
      <c r="K7" s="955"/>
    </row>
    <row r="8" spans="1:11" ht="36" customHeight="1">
      <c r="A8" s="122" t="s">
        <v>9</v>
      </c>
      <c r="B8" s="126" t="s">
        <v>188</v>
      </c>
      <c r="C8" s="127"/>
      <c r="D8" s="128">
        <f aca="true" t="shared" si="2" ref="D8:I8">SUM(D9:D10)</f>
        <v>0</v>
      </c>
      <c r="E8" s="128">
        <f t="shared" si="2"/>
        <v>0</v>
      </c>
      <c r="F8" s="128">
        <f t="shared" si="2"/>
        <v>0</v>
      </c>
      <c r="G8" s="128">
        <f t="shared" si="2"/>
        <v>0</v>
      </c>
      <c r="H8" s="128">
        <f t="shared" si="2"/>
        <v>0</v>
      </c>
      <c r="I8" s="129">
        <f t="shared" si="2"/>
        <v>0</v>
      </c>
      <c r="J8" s="130">
        <f t="shared" si="1"/>
        <v>0</v>
      </c>
      <c r="K8" s="885" t="str">
        <f>ÖSSZEFÜGGÉSEK!A40</f>
        <v> a 7/2020.(VII.1.) önkormányzati rendelethez</v>
      </c>
    </row>
    <row r="9" spans="1:11" ht="12.75">
      <c r="A9" s="122" t="s">
        <v>10</v>
      </c>
      <c r="B9" s="123" t="s">
        <v>187</v>
      </c>
      <c r="C9" s="124"/>
      <c r="D9" s="2"/>
      <c r="E9" s="2"/>
      <c r="F9" s="2"/>
      <c r="G9" s="2"/>
      <c r="H9" s="2"/>
      <c r="I9" s="41"/>
      <c r="J9" s="125">
        <f t="shared" si="1"/>
        <v>0</v>
      </c>
      <c r="K9" s="885"/>
    </row>
    <row r="10" spans="1:11" ht="12.75">
      <c r="A10" s="122" t="s">
        <v>11</v>
      </c>
      <c r="B10" s="123" t="s">
        <v>187</v>
      </c>
      <c r="C10" s="124"/>
      <c r="D10" s="2"/>
      <c r="E10" s="2"/>
      <c r="F10" s="2"/>
      <c r="G10" s="2"/>
      <c r="H10" s="2"/>
      <c r="I10" s="41"/>
      <c r="J10" s="125">
        <f t="shared" si="1"/>
        <v>0</v>
      </c>
      <c r="K10" s="885"/>
    </row>
    <row r="11" spans="1:11" ht="21" customHeight="1">
      <c r="A11" s="122" t="s">
        <v>12</v>
      </c>
      <c r="B11" s="131" t="s">
        <v>189</v>
      </c>
      <c r="C11" s="127"/>
      <c r="D11" s="128">
        <f aca="true" t="shared" si="3" ref="D11:I11">SUM(D12:D12)</f>
        <v>0</v>
      </c>
      <c r="E11" s="128">
        <f t="shared" si="3"/>
        <v>0</v>
      </c>
      <c r="F11" s="128">
        <f t="shared" si="3"/>
        <v>0</v>
      </c>
      <c r="G11" s="128">
        <f t="shared" si="3"/>
        <v>0</v>
      </c>
      <c r="H11" s="128">
        <f t="shared" si="3"/>
        <v>0</v>
      </c>
      <c r="I11" s="129">
        <f t="shared" si="3"/>
        <v>0</v>
      </c>
      <c r="J11" s="130">
        <f t="shared" si="1"/>
        <v>0</v>
      </c>
      <c r="K11" s="885"/>
    </row>
    <row r="12" spans="1:11" ht="21" customHeight="1">
      <c r="A12" s="122" t="s">
        <v>13</v>
      </c>
      <c r="B12" s="123" t="s">
        <v>187</v>
      </c>
      <c r="C12" s="124"/>
      <c r="D12" s="2"/>
      <c r="E12" s="2"/>
      <c r="F12" s="2"/>
      <c r="G12" s="2"/>
      <c r="H12" s="2"/>
      <c r="I12" s="41"/>
      <c r="J12" s="125">
        <f t="shared" si="1"/>
        <v>0</v>
      </c>
      <c r="K12" s="885"/>
    </row>
    <row r="13" spans="1:11" ht="21" customHeight="1">
      <c r="A13" s="122" t="s">
        <v>14</v>
      </c>
      <c r="B13" s="131" t="s">
        <v>190</v>
      </c>
      <c r="C13" s="127"/>
      <c r="D13" s="128">
        <f aca="true" t="shared" si="4" ref="D13:I13">SUM(D14:D14)</f>
        <v>0</v>
      </c>
      <c r="E13" s="128">
        <f t="shared" si="4"/>
        <v>0</v>
      </c>
      <c r="F13" s="128">
        <f t="shared" si="4"/>
        <v>0</v>
      </c>
      <c r="G13" s="128">
        <f t="shared" si="4"/>
        <v>0</v>
      </c>
      <c r="H13" s="128">
        <f t="shared" si="4"/>
        <v>0</v>
      </c>
      <c r="I13" s="129">
        <f t="shared" si="4"/>
        <v>0</v>
      </c>
      <c r="J13" s="130">
        <f t="shared" si="1"/>
        <v>0</v>
      </c>
      <c r="K13" s="885"/>
    </row>
    <row r="14" spans="1:11" ht="21" customHeight="1">
      <c r="A14" s="122" t="s">
        <v>15</v>
      </c>
      <c r="B14" s="123"/>
      <c r="C14" s="124"/>
      <c r="D14" s="2"/>
      <c r="E14" s="2"/>
      <c r="F14" s="2"/>
      <c r="G14" s="2"/>
      <c r="H14" s="2"/>
      <c r="I14" s="41"/>
      <c r="J14" s="125"/>
      <c r="K14" s="885"/>
    </row>
    <row r="15" spans="1:11" ht="21" customHeight="1">
      <c r="A15" s="122" t="s">
        <v>16</v>
      </c>
      <c r="B15" s="126" t="s">
        <v>191</v>
      </c>
      <c r="C15" s="413"/>
      <c r="D15" s="132"/>
      <c r="E15" s="132"/>
      <c r="F15" s="132">
        <f>SUM(F16:F17)</f>
        <v>0</v>
      </c>
      <c r="G15" s="132">
        <f>SUM(G16:G17)</f>
        <v>0</v>
      </c>
      <c r="H15" s="132">
        <f>SUM(H16:H17)</f>
        <v>0</v>
      </c>
      <c r="I15" s="133">
        <f>SUM(I16:I17)</f>
        <v>0</v>
      </c>
      <c r="J15" s="130">
        <f t="shared" si="1"/>
        <v>0</v>
      </c>
      <c r="K15" s="885"/>
    </row>
    <row r="16" spans="1:11" ht="22.5" customHeight="1">
      <c r="A16" s="122" t="s">
        <v>17</v>
      </c>
      <c r="B16" s="123"/>
      <c r="C16" s="414"/>
      <c r="D16" s="2"/>
      <c r="E16" s="2"/>
      <c r="F16" s="2"/>
      <c r="G16" s="2"/>
      <c r="H16" s="2"/>
      <c r="I16" s="41"/>
      <c r="J16" s="125">
        <f t="shared" si="1"/>
        <v>0</v>
      </c>
      <c r="K16" s="885"/>
    </row>
    <row r="17" spans="1:11" ht="21" customHeight="1" thickBot="1">
      <c r="A17" s="416" t="s">
        <v>18</v>
      </c>
      <c r="B17" s="417"/>
      <c r="C17" s="415"/>
      <c r="D17" s="134"/>
      <c r="E17" s="134"/>
      <c r="F17" s="134"/>
      <c r="G17" s="134"/>
      <c r="H17" s="134"/>
      <c r="I17" s="135"/>
      <c r="J17" s="125">
        <f t="shared" si="1"/>
        <v>0</v>
      </c>
      <c r="K17" s="885"/>
    </row>
    <row r="18" spans="1:11" ht="21" customHeight="1" thickBot="1">
      <c r="A18" s="136" t="s">
        <v>19</v>
      </c>
      <c r="B18" s="137" t="s">
        <v>192</v>
      </c>
      <c r="C18" s="138"/>
      <c r="D18" s="139">
        <f aca="true" t="shared" si="5" ref="D18:J18">D5+D8+D11+D13+D15</f>
        <v>0</v>
      </c>
      <c r="E18" s="139">
        <f t="shared" si="5"/>
        <v>0</v>
      </c>
      <c r="F18" s="139">
        <f t="shared" si="5"/>
        <v>0</v>
      </c>
      <c r="G18" s="139">
        <f t="shared" si="5"/>
        <v>0</v>
      </c>
      <c r="H18" s="139">
        <f t="shared" si="5"/>
        <v>0</v>
      </c>
      <c r="I18" s="140">
        <f t="shared" si="5"/>
        <v>0</v>
      </c>
      <c r="J18" s="141">
        <f t="shared" si="5"/>
        <v>0</v>
      </c>
      <c r="K18" s="885"/>
    </row>
  </sheetData>
  <sheetProtection/>
  <mergeCells count="8">
    <mergeCell ref="K8:K18"/>
    <mergeCell ref="K2:K7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3"/>
  <sheetViews>
    <sheetView view="pageBreakPreview" zoomScale="115" zoomScaleNormal="130" zoomScaleSheetLayoutView="115" workbookViewId="0" topLeftCell="A1">
      <selection activeCell="B148" sqref="B148"/>
    </sheetView>
  </sheetViews>
  <sheetFormatPr defaultColWidth="9.375" defaultRowHeight="12.75"/>
  <cols>
    <col min="1" max="1" width="9.50390625" style="216" customWidth="1"/>
    <col min="2" max="2" width="79.375" style="216" customWidth="1"/>
    <col min="3" max="5" width="20.75390625" style="217" customWidth="1"/>
    <col min="6" max="6" width="19.00390625" style="226" customWidth="1"/>
    <col min="7" max="7" width="16.625" style="226" customWidth="1"/>
    <col min="8" max="8" width="11.625" style="226" customWidth="1"/>
    <col min="9" max="16384" width="9.375" style="226" customWidth="1"/>
  </cols>
  <sheetData>
    <row r="1" spans="1:8" ht="15.75" customHeight="1">
      <c r="A1" s="864" t="s">
        <v>3</v>
      </c>
      <c r="B1" s="864"/>
      <c r="C1" s="864"/>
      <c r="D1" s="864"/>
      <c r="E1" s="864"/>
      <c r="F1" s="864"/>
      <c r="G1" s="864"/>
      <c r="H1" s="864"/>
    </row>
    <row r="2" spans="1:8" ht="15.75" customHeight="1" thickBot="1">
      <c r="A2" s="40" t="s">
        <v>105</v>
      </c>
      <c r="B2" s="40"/>
      <c r="C2" s="677"/>
      <c r="D2" s="677"/>
      <c r="E2" s="677"/>
      <c r="F2" s="677"/>
      <c r="G2" s="677"/>
      <c r="H2" s="677" t="s">
        <v>826</v>
      </c>
    </row>
    <row r="3" spans="1:8" ht="15.75" customHeight="1" thickBot="1">
      <c r="A3" s="869" t="s">
        <v>54</v>
      </c>
      <c r="B3" s="871" t="s">
        <v>5</v>
      </c>
      <c r="C3" s="865">
        <v>2019</v>
      </c>
      <c r="D3" s="866"/>
      <c r="E3" s="866"/>
      <c r="F3" s="866"/>
      <c r="G3" s="866"/>
      <c r="H3" s="867"/>
    </row>
    <row r="4" spans="1:8" ht="37.5" customHeight="1" thickBot="1">
      <c r="A4" s="870"/>
      <c r="B4" s="872"/>
      <c r="C4" s="678" t="s">
        <v>172</v>
      </c>
      <c r="D4" s="678" t="s">
        <v>176</v>
      </c>
      <c r="E4" s="679" t="s">
        <v>177</v>
      </c>
      <c r="F4" s="314" t="s">
        <v>872</v>
      </c>
      <c r="G4" s="314" t="s">
        <v>873</v>
      </c>
      <c r="H4" s="314" t="s">
        <v>874</v>
      </c>
    </row>
    <row r="5" spans="1:8" s="227" customFormat="1" ht="12" customHeight="1" thickBot="1">
      <c r="A5" s="460" t="s">
        <v>372</v>
      </c>
      <c r="B5" s="461" t="s">
        <v>373</v>
      </c>
      <c r="C5" s="461" t="s">
        <v>374</v>
      </c>
      <c r="D5" s="461" t="s">
        <v>375</v>
      </c>
      <c r="E5" s="462" t="s">
        <v>376</v>
      </c>
      <c r="F5" s="96" t="s">
        <v>451</v>
      </c>
      <c r="G5" s="96" t="s">
        <v>452</v>
      </c>
      <c r="H5" s="96" t="s">
        <v>453</v>
      </c>
    </row>
    <row r="6" spans="1:8" s="228" customFormat="1" ht="29.25" customHeight="1" thickBot="1">
      <c r="A6" s="463" t="s">
        <v>6</v>
      </c>
      <c r="B6" s="464" t="s">
        <v>262</v>
      </c>
      <c r="C6" s="465">
        <f aca="true" t="shared" si="0" ref="C6:H6">SUM(C7:C12)</f>
        <v>923473418</v>
      </c>
      <c r="D6" s="465">
        <f t="shared" si="0"/>
        <v>903830252</v>
      </c>
      <c r="E6" s="466">
        <f t="shared" si="0"/>
        <v>903830252</v>
      </c>
      <c r="F6" s="466">
        <f t="shared" si="0"/>
        <v>903830252</v>
      </c>
      <c r="G6" s="466">
        <f t="shared" si="0"/>
        <v>0</v>
      </c>
      <c r="H6" s="466">
        <f t="shared" si="0"/>
        <v>0</v>
      </c>
    </row>
    <row r="7" spans="1:8" s="228" customFormat="1" ht="13.5" customHeight="1">
      <c r="A7" s="467" t="s">
        <v>66</v>
      </c>
      <c r="B7" s="468" t="s">
        <v>263</v>
      </c>
      <c r="C7" s="469">
        <f>'6..sz. mell önkormányzat'!C9</f>
        <v>208486471</v>
      </c>
      <c r="D7" s="469">
        <v>213975500</v>
      </c>
      <c r="E7" s="470">
        <v>213975500</v>
      </c>
      <c r="F7" s="470">
        <f aca="true" t="shared" si="1" ref="F7:F12">E7-G7</f>
        <v>213975500</v>
      </c>
      <c r="G7" s="470"/>
      <c r="H7" s="470"/>
    </row>
    <row r="8" spans="1:8" s="228" customFormat="1" ht="13.5" customHeight="1">
      <c r="A8" s="471" t="s">
        <v>67</v>
      </c>
      <c r="B8" s="472" t="s">
        <v>264</v>
      </c>
      <c r="C8" s="473">
        <v>295050200</v>
      </c>
      <c r="D8" s="473">
        <v>303733985</v>
      </c>
      <c r="E8" s="474">
        <v>303733985</v>
      </c>
      <c r="F8" s="470">
        <f t="shared" si="1"/>
        <v>303733985</v>
      </c>
      <c r="G8" s="474"/>
      <c r="H8" s="474"/>
    </row>
    <row r="9" spans="1:8" s="228" customFormat="1" ht="13.5" customHeight="1">
      <c r="A9" s="471" t="s">
        <v>68</v>
      </c>
      <c r="B9" s="472" t="s">
        <v>265</v>
      </c>
      <c r="C9" s="473">
        <v>279183502</v>
      </c>
      <c r="D9" s="473">
        <v>302625364</v>
      </c>
      <c r="E9" s="474">
        <v>302625364</v>
      </c>
      <c r="F9" s="470">
        <f t="shared" si="1"/>
        <v>302625364</v>
      </c>
      <c r="G9" s="474"/>
      <c r="H9" s="474"/>
    </row>
    <row r="10" spans="1:8" s="228" customFormat="1" ht="13.5" customHeight="1">
      <c r="A10" s="471" t="s">
        <v>69</v>
      </c>
      <c r="B10" s="472" t="s">
        <v>266</v>
      </c>
      <c r="C10" s="473">
        <v>15212120</v>
      </c>
      <c r="D10" s="473">
        <v>18920222</v>
      </c>
      <c r="E10" s="474">
        <v>18920222</v>
      </c>
      <c r="F10" s="470">
        <f t="shared" si="1"/>
        <v>18920222</v>
      </c>
      <c r="G10" s="474"/>
      <c r="H10" s="474"/>
    </row>
    <row r="11" spans="1:8" s="228" customFormat="1" ht="13.5" customHeight="1">
      <c r="A11" s="471" t="s">
        <v>101</v>
      </c>
      <c r="B11" s="472" t="s">
        <v>267</v>
      </c>
      <c r="C11" s="473">
        <v>125541125</v>
      </c>
      <c r="D11" s="473">
        <v>64575181</v>
      </c>
      <c r="E11" s="474">
        <v>64575181</v>
      </c>
      <c r="F11" s="470">
        <f t="shared" si="1"/>
        <v>64575181</v>
      </c>
      <c r="G11" s="474"/>
      <c r="H11" s="474"/>
    </row>
    <row r="12" spans="1:8" s="228" customFormat="1" ht="17.25" customHeight="1" thickBot="1">
      <c r="A12" s="475" t="s">
        <v>70</v>
      </c>
      <c r="B12" s="476" t="s">
        <v>268</v>
      </c>
      <c r="C12" s="477"/>
      <c r="D12" s="477"/>
      <c r="E12" s="478"/>
      <c r="F12" s="470">
        <f t="shared" si="1"/>
        <v>0</v>
      </c>
      <c r="G12" s="478"/>
      <c r="H12" s="478"/>
    </row>
    <row r="13" spans="1:8" s="228" customFormat="1" ht="33" customHeight="1" thickBot="1">
      <c r="A13" s="463" t="s">
        <v>7</v>
      </c>
      <c r="B13" s="479" t="s">
        <v>269</v>
      </c>
      <c r="C13" s="465">
        <f aca="true" t="shared" si="2" ref="C13:H13">SUM(C14:C18)</f>
        <v>90906433</v>
      </c>
      <c r="D13" s="465">
        <f t="shared" si="2"/>
        <v>151396075</v>
      </c>
      <c r="E13" s="466">
        <f t="shared" si="2"/>
        <v>126600209</v>
      </c>
      <c r="F13" s="466">
        <f t="shared" si="2"/>
        <v>126600209</v>
      </c>
      <c r="G13" s="466">
        <f t="shared" si="2"/>
        <v>0</v>
      </c>
      <c r="H13" s="466">
        <f t="shared" si="2"/>
        <v>0</v>
      </c>
    </row>
    <row r="14" spans="1:8" s="228" customFormat="1" ht="13.5" customHeight="1">
      <c r="A14" s="467" t="s">
        <v>72</v>
      </c>
      <c r="B14" s="468" t="s">
        <v>270</v>
      </c>
      <c r="C14" s="469"/>
      <c r="D14" s="469">
        <v>225157</v>
      </c>
      <c r="E14" s="470">
        <v>225157</v>
      </c>
      <c r="F14" s="470">
        <v>225157</v>
      </c>
      <c r="G14" s="470"/>
      <c r="H14" s="470"/>
    </row>
    <row r="15" spans="1:8" s="228" customFormat="1" ht="13.5" customHeight="1">
      <c r="A15" s="471" t="s">
        <v>73</v>
      </c>
      <c r="B15" s="472" t="s">
        <v>271</v>
      </c>
      <c r="C15" s="473"/>
      <c r="D15" s="473"/>
      <c r="E15" s="474"/>
      <c r="F15" s="474"/>
      <c r="G15" s="474"/>
      <c r="H15" s="474"/>
    </row>
    <row r="16" spans="1:8" s="228" customFormat="1" ht="13.5" customHeight="1">
      <c r="A16" s="471" t="s">
        <v>74</v>
      </c>
      <c r="B16" s="472" t="s">
        <v>272</v>
      </c>
      <c r="C16" s="473"/>
      <c r="D16" s="473"/>
      <c r="E16" s="474"/>
      <c r="F16" s="474"/>
      <c r="G16" s="474"/>
      <c r="H16" s="474"/>
    </row>
    <row r="17" spans="1:8" s="228" customFormat="1" ht="13.5" customHeight="1">
      <c r="A17" s="471" t="s">
        <v>75</v>
      </c>
      <c r="B17" s="472" t="s">
        <v>273</v>
      </c>
      <c r="C17" s="473"/>
      <c r="D17" s="473"/>
      <c r="E17" s="474"/>
      <c r="F17" s="474"/>
      <c r="G17" s="474"/>
      <c r="H17" s="474"/>
    </row>
    <row r="18" spans="1:8" s="228" customFormat="1" ht="13.5" customHeight="1">
      <c r="A18" s="471" t="s">
        <v>76</v>
      </c>
      <c r="B18" s="472" t="s">
        <v>274</v>
      </c>
      <c r="C18" s="473">
        <v>90906433</v>
      </c>
      <c r="D18" s="473">
        <v>151170918</v>
      </c>
      <c r="E18" s="474">
        <v>126375052</v>
      </c>
      <c r="F18" s="474">
        <f>E18-G18</f>
        <v>126375052</v>
      </c>
      <c r="G18" s="474"/>
      <c r="H18" s="474"/>
    </row>
    <row r="19" spans="1:8" s="228" customFormat="1" ht="13.5" customHeight="1" thickBot="1">
      <c r="A19" s="475" t="s">
        <v>83</v>
      </c>
      <c r="B19" s="476" t="s">
        <v>275</v>
      </c>
      <c r="C19" s="477"/>
      <c r="D19" s="477"/>
      <c r="E19" s="478"/>
      <c r="F19" s="478"/>
      <c r="G19" s="478"/>
      <c r="H19" s="478"/>
    </row>
    <row r="20" spans="1:8" s="228" customFormat="1" ht="32.25" customHeight="1" thickBot="1">
      <c r="A20" s="463" t="s">
        <v>8</v>
      </c>
      <c r="B20" s="464" t="s">
        <v>276</v>
      </c>
      <c r="C20" s="465">
        <f>SUM(C21:C25)</f>
        <v>622839833</v>
      </c>
      <c r="D20" s="465">
        <f>SUM(D21:D25)</f>
        <v>1392287246</v>
      </c>
      <c r="E20" s="466">
        <f>SUM(E21:E25)</f>
        <v>450721714</v>
      </c>
      <c r="F20" s="466">
        <f>SUM(F21:F25)</f>
        <v>450721714</v>
      </c>
      <c r="G20" s="466"/>
      <c r="H20" s="466"/>
    </row>
    <row r="21" spans="1:8" s="228" customFormat="1" ht="13.5" customHeight="1">
      <c r="A21" s="467" t="s">
        <v>55</v>
      </c>
      <c r="B21" s="468" t="s">
        <v>277</v>
      </c>
      <c r="C21" s="469">
        <v>28503394</v>
      </c>
      <c r="D21" s="469">
        <v>28503394</v>
      </c>
      <c r="E21" s="470">
        <v>28503394</v>
      </c>
      <c r="F21" s="470">
        <v>28503394</v>
      </c>
      <c r="G21" s="470"/>
      <c r="H21" s="470"/>
    </row>
    <row r="22" spans="1:8" s="228" customFormat="1" ht="13.5" customHeight="1">
      <c r="A22" s="471" t="s">
        <v>56</v>
      </c>
      <c r="B22" s="472" t="s">
        <v>278</v>
      </c>
      <c r="C22" s="473"/>
      <c r="D22" s="473"/>
      <c r="E22" s="474"/>
      <c r="F22" s="474"/>
      <c r="G22" s="474"/>
      <c r="H22" s="474"/>
    </row>
    <row r="23" spans="1:8" s="228" customFormat="1" ht="13.5" customHeight="1">
      <c r="A23" s="471" t="s">
        <v>57</v>
      </c>
      <c r="B23" s="472" t="s">
        <v>279</v>
      </c>
      <c r="C23" s="473"/>
      <c r="D23" s="473"/>
      <c r="E23" s="474"/>
      <c r="F23" s="474"/>
      <c r="G23" s="474"/>
      <c r="H23" s="474"/>
    </row>
    <row r="24" spans="1:8" s="228" customFormat="1" ht="13.5" customHeight="1">
      <c r="A24" s="471" t="s">
        <v>58</v>
      </c>
      <c r="B24" s="472" t="s">
        <v>280</v>
      </c>
      <c r="C24" s="473"/>
      <c r="D24" s="473"/>
      <c r="E24" s="474"/>
      <c r="F24" s="474"/>
      <c r="G24" s="474"/>
      <c r="H24" s="474"/>
    </row>
    <row r="25" spans="1:8" s="228" customFormat="1" ht="13.5" customHeight="1">
      <c r="A25" s="471" t="s">
        <v>115</v>
      </c>
      <c r="B25" s="472" t="s">
        <v>281</v>
      </c>
      <c r="C25" s="473">
        <v>594336439</v>
      </c>
      <c r="D25" s="473">
        <v>1363783852</v>
      </c>
      <c r="E25" s="474">
        <v>422218320</v>
      </c>
      <c r="F25" s="474">
        <v>422218320</v>
      </c>
      <c r="G25" s="474"/>
      <c r="H25" s="474"/>
    </row>
    <row r="26" spans="1:8" s="228" customFormat="1" ht="13.5" customHeight="1" thickBot="1">
      <c r="A26" s="475" t="s">
        <v>116</v>
      </c>
      <c r="B26" s="480" t="s">
        <v>282</v>
      </c>
      <c r="C26" s="477"/>
      <c r="D26" s="477"/>
      <c r="E26" s="478"/>
      <c r="F26" s="478"/>
      <c r="G26" s="478"/>
      <c r="H26" s="478"/>
    </row>
    <row r="27" spans="1:8" s="228" customFormat="1" ht="18.75" customHeight="1" thickBot="1">
      <c r="A27" s="463" t="s">
        <v>117</v>
      </c>
      <c r="B27" s="464" t="s">
        <v>283</v>
      </c>
      <c r="C27" s="481">
        <f aca="true" t="shared" si="3" ref="C27:H27">SUM(C28:C31)</f>
        <v>440000000</v>
      </c>
      <c r="D27" s="481">
        <f t="shared" si="3"/>
        <v>495945023</v>
      </c>
      <c r="E27" s="481">
        <f t="shared" si="3"/>
        <v>516673875</v>
      </c>
      <c r="F27" s="481">
        <f t="shared" si="3"/>
        <v>516673875</v>
      </c>
      <c r="G27" s="481">
        <f t="shared" si="3"/>
        <v>0</v>
      </c>
      <c r="H27" s="481">
        <f t="shared" si="3"/>
        <v>0</v>
      </c>
    </row>
    <row r="28" spans="1:8" s="228" customFormat="1" ht="13.5" customHeight="1">
      <c r="A28" s="467" t="s">
        <v>284</v>
      </c>
      <c r="B28" s="468" t="s">
        <v>285</v>
      </c>
      <c r="C28" s="482"/>
      <c r="D28" s="482"/>
      <c r="E28" s="483"/>
      <c r="F28" s="483">
        <f>E28-G28</f>
        <v>0</v>
      </c>
      <c r="G28" s="483"/>
      <c r="H28" s="483"/>
    </row>
    <row r="29" spans="1:8" s="228" customFormat="1" ht="13.5" customHeight="1">
      <c r="A29" s="471" t="s">
        <v>286</v>
      </c>
      <c r="B29" s="472" t="s">
        <v>671</v>
      </c>
      <c r="C29" s="473">
        <v>52000000</v>
      </c>
      <c r="D29" s="473">
        <v>52000000</v>
      </c>
      <c r="E29" s="474">
        <f>52791936+6400</f>
        <v>52798336</v>
      </c>
      <c r="F29" s="483">
        <f>E29-G29</f>
        <v>52798336</v>
      </c>
      <c r="G29" s="474"/>
      <c r="H29" s="474"/>
    </row>
    <row r="30" spans="1:8" s="228" customFormat="1" ht="13.5" customHeight="1">
      <c r="A30" s="471" t="s">
        <v>287</v>
      </c>
      <c r="B30" s="472" t="s">
        <v>672</v>
      </c>
      <c r="C30" s="473">
        <v>382000000</v>
      </c>
      <c r="D30" s="473">
        <v>437945023</v>
      </c>
      <c r="E30" s="474">
        <v>461121115</v>
      </c>
      <c r="F30" s="483">
        <f>E30-G30</f>
        <v>461121115</v>
      </c>
      <c r="G30" s="474"/>
      <c r="H30" s="474"/>
    </row>
    <row r="31" spans="1:8" s="228" customFormat="1" ht="13.5" customHeight="1" thickBot="1">
      <c r="A31" s="475" t="s">
        <v>288</v>
      </c>
      <c r="B31" s="480" t="s">
        <v>289</v>
      </c>
      <c r="C31" s="477">
        <v>6000000</v>
      </c>
      <c r="D31" s="477">
        <v>6000000</v>
      </c>
      <c r="E31" s="478">
        <v>2754424</v>
      </c>
      <c r="F31" s="483">
        <f>E31-G31</f>
        <v>2754424</v>
      </c>
      <c r="G31" s="478"/>
      <c r="H31" s="478"/>
    </row>
    <row r="32" spans="1:8" s="228" customFormat="1" ht="21" customHeight="1" thickBot="1">
      <c r="A32" s="463" t="s">
        <v>10</v>
      </c>
      <c r="B32" s="464" t="s">
        <v>290</v>
      </c>
      <c r="C32" s="465">
        <f>SUM(C33:C43)</f>
        <v>172668842</v>
      </c>
      <c r="D32" s="465">
        <f>SUM(D33:D43)</f>
        <v>173828567</v>
      </c>
      <c r="E32" s="466">
        <f>SUM(E33:E43)</f>
        <v>169857840</v>
      </c>
      <c r="F32" s="466">
        <f>SUM(F33:F43)</f>
        <v>169476840</v>
      </c>
      <c r="G32" s="466">
        <f>SUM(G33:G43)</f>
        <v>381000</v>
      </c>
      <c r="H32" s="466"/>
    </row>
    <row r="33" spans="1:8" s="228" customFormat="1" ht="13.5" customHeight="1">
      <c r="A33" s="467" t="s">
        <v>59</v>
      </c>
      <c r="B33" s="468" t="s">
        <v>291</v>
      </c>
      <c r="C33" s="469">
        <f>'6..sz. mell önkormányzat'!C34+' 7..sz. mell Hivatal'!C9+'8. sz. mell. Családsegítő'!C9+'9. sz. mell VGSZ'!C9+'10.sz. mell. Könyvtár'!C9+'11.sz. mell. Óvoda'!C9+'12.sz. mell. Bölcsöde)'!C9</f>
        <v>7000000</v>
      </c>
      <c r="D33" s="469">
        <f>'6..sz. mell önkormányzat'!D34+' 7..sz. mell Hivatal'!D9+'8. sz. mell. Családsegítő'!D9+'9. sz. mell VGSZ'!D9+'10.sz. mell. Könyvtár'!D9+'11.sz. mell. Óvoda'!D9+'12.sz. mell. Bölcsöde)'!D9</f>
        <v>7000000</v>
      </c>
      <c r="E33" s="470">
        <v>2797316</v>
      </c>
      <c r="F33" s="470">
        <f>E33-G33</f>
        <v>2797316</v>
      </c>
      <c r="G33" s="470"/>
      <c r="H33" s="470"/>
    </row>
    <row r="34" spans="1:8" s="228" customFormat="1" ht="13.5" customHeight="1">
      <c r="A34" s="471" t="s">
        <v>60</v>
      </c>
      <c r="B34" s="472" t="s">
        <v>292</v>
      </c>
      <c r="C34" s="469">
        <f>'6..sz. mell önkormányzat'!C35+' 7..sz. mell Hivatal'!C10+'8. sz. mell. Családsegítő'!C10+'9. sz. mell VGSZ'!C10+'10.sz. mell. Könyvtár'!C10+'11.sz. mell. Óvoda'!C10+'12.sz. mell. Bölcsöde)'!C10</f>
        <v>115820040</v>
      </c>
      <c r="D34" s="469">
        <f>'6..sz. mell önkormányzat'!D35+' 7..sz. mell Hivatal'!D10+'8. sz. mell. Családsegítő'!D10+'9. sz. mell VGSZ'!D10+'10.sz. mell. Könyvtár'!D10+'11.sz. mell. Óvoda'!D10+'12.sz. mell. Bölcsöde)'!D10</f>
        <v>115866040</v>
      </c>
      <c r="E34" s="474">
        <v>110529614</v>
      </c>
      <c r="F34" s="470">
        <f aca="true" t="shared" si="4" ref="F34:F43">E34-G34</f>
        <v>110529614</v>
      </c>
      <c r="G34" s="474"/>
      <c r="H34" s="474"/>
    </row>
    <row r="35" spans="1:8" s="228" customFormat="1" ht="13.5" customHeight="1">
      <c r="A35" s="471" t="s">
        <v>61</v>
      </c>
      <c r="B35" s="472" t="s">
        <v>293</v>
      </c>
      <c r="C35" s="469">
        <f>'6..sz. mell önkormányzat'!C36+' 7..sz. mell Hivatal'!C11+'8. sz. mell. Családsegítő'!C11+'9. sz. mell VGSZ'!C11+'10.sz. mell. Könyvtár'!C11+'11.sz. mell. Óvoda'!C11+'12.sz. mell. Bölcsöde)'!C11</f>
        <v>19340000</v>
      </c>
      <c r="D35" s="469">
        <f>'6..sz. mell önkormányzat'!D36+' 7..sz. mell Hivatal'!D11+'8. sz. mell. Családsegítő'!D11+'9. sz. mell VGSZ'!D11+'10.sz. mell. Könyvtár'!D11+'11.sz. mell. Óvoda'!D11+'12.sz. mell. Bölcsöde)'!D11</f>
        <v>19340000</v>
      </c>
      <c r="E35" s="474">
        <v>14463672</v>
      </c>
      <c r="F35" s="470">
        <f t="shared" si="4"/>
        <v>14463672</v>
      </c>
      <c r="G35" s="474"/>
      <c r="H35" s="474"/>
    </row>
    <row r="36" spans="1:8" s="228" customFormat="1" ht="13.5" customHeight="1">
      <c r="A36" s="471" t="s">
        <v>119</v>
      </c>
      <c r="B36" s="472" t="s">
        <v>294</v>
      </c>
      <c r="C36" s="469">
        <f>'6..sz. mell önkormányzat'!C37+' 7..sz. mell Hivatal'!C12+'8. sz. mell. Családsegítő'!C12+'9. sz. mell VGSZ'!C12+'10.sz. mell. Könyvtár'!C12+'11.sz. mell. Óvoda'!C12+'12.sz. mell. Bölcsöde)'!C12</f>
        <v>0</v>
      </c>
      <c r="D36" s="469">
        <f>'6..sz. mell önkormányzat'!D37+' 7..sz. mell Hivatal'!D12+'8. sz. mell. Családsegítő'!D12+'9. sz. mell VGSZ'!D12+'10.sz. mell. Könyvtár'!D12+'11.sz. mell. Óvoda'!D12+'12.sz. mell. Bölcsöde)'!D12</f>
        <v>0</v>
      </c>
      <c r="E36" s="474"/>
      <c r="F36" s="470">
        <f t="shared" si="4"/>
        <v>0</v>
      </c>
      <c r="G36" s="474"/>
      <c r="H36" s="474"/>
    </row>
    <row r="37" spans="1:8" s="228" customFormat="1" ht="13.5" customHeight="1">
      <c r="A37" s="471" t="s">
        <v>120</v>
      </c>
      <c r="B37" s="472" t="s">
        <v>295</v>
      </c>
      <c r="C37" s="469">
        <f>'6..sz. mell önkormányzat'!C38+' 7..sz. mell Hivatal'!C13+'8. sz. mell. Családsegítő'!C13+'9. sz. mell VGSZ'!C13+'10.sz. mell. Könyvtár'!C13+'11.sz. mell. Óvoda'!C13+'12.sz. mell. Bölcsöde)'!C13</f>
        <v>3317000</v>
      </c>
      <c r="D37" s="469">
        <f>'6..sz. mell önkormányzat'!D38+' 7..sz. mell Hivatal'!D13+'8. sz. mell. Családsegítő'!D13+'9. sz. mell VGSZ'!D13+'10.sz. mell. Könyvtár'!D13+'11.sz. mell. Óvoda'!D13+'12.sz. mell. Bölcsöde)'!D13</f>
        <v>3317000</v>
      </c>
      <c r="E37" s="474">
        <v>6142009</v>
      </c>
      <c r="F37" s="470">
        <f t="shared" si="4"/>
        <v>6142009</v>
      </c>
      <c r="G37" s="474"/>
      <c r="H37" s="474"/>
    </row>
    <row r="38" spans="1:8" s="228" customFormat="1" ht="13.5" customHeight="1">
      <c r="A38" s="471" t="s">
        <v>121</v>
      </c>
      <c r="B38" s="472" t="s">
        <v>296</v>
      </c>
      <c r="C38" s="469">
        <f>'6..sz. mell önkormányzat'!C39+' 7..sz. mell Hivatal'!C14+'8. sz. mell. Családsegítő'!C14+'9. sz. mell VGSZ'!C14+'10.sz. mell. Könyvtár'!C14+'11.sz. mell. Óvoda'!C14+'12.sz. mell. Bölcsöde)'!C14</f>
        <v>26981802</v>
      </c>
      <c r="D38" s="469">
        <f>'6..sz. mell önkormányzat'!D39+' 7..sz. mell Hivatal'!D14+'8. sz. mell. Családsegítő'!D14+'9. sz. mell VGSZ'!D14+'10.sz. mell. Könyvtár'!D14+'11.sz. mell. Óvoda'!D14+'12.sz. mell. Bölcsöde)'!D14</f>
        <v>27186802</v>
      </c>
      <c r="E38" s="474">
        <v>33511041</v>
      </c>
      <c r="F38" s="470">
        <f t="shared" si="4"/>
        <v>33430041</v>
      </c>
      <c r="G38" s="474">
        <v>81000</v>
      </c>
      <c r="H38" s="474"/>
    </row>
    <row r="39" spans="1:8" s="228" customFormat="1" ht="13.5" customHeight="1">
      <c r="A39" s="471" t="s">
        <v>122</v>
      </c>
      <c r="B39" s="472" t="s">
        <v>297</v>
      </c>
      <c r="C39" s="469">
        <f>'6..sz. mell önkormányzat'!C40+' 7..sz. mell Hivatal'!C15+'8. sz. mell. Családsegítő'!C15+'9. sz. mell VGSZ'!C15+'10.sz. mell. Könyvtár'!C15+'11.sz. mell. Óvoda'!C15+'12.sz. mell. Bölcsöde)'!C15</f>
        <v>0</v>
      </c>
      <c r="D39" s="469">
        <f>'6..sz. mell önkormányzat'!D40+' 7..sz. mell Hivatal'!D15+'8. sz. mell. Családsegítő'!D15+'9. sz. mell VGSZ'!D15+'10.sz. mell. Könyvtár'!D15+'11.sz. mell. Óvoda'!D15+'12.sz. mell. Bölcsöde)'!D15</f>
        <v>0</v>
      </c>
      <c r="E39" s="474"/>
      <c r="F39" s="470">
        <f t="shared" si="4"/>
        <v>0</v>
      </c>
      <c r="G39" s="474"/>
      <c r="H39" s="474"/>
    </row>
    <row r="40" spans="1:8" s="228" customFormat="1" ht="13.5" customHeight="1">
      <c r="A40" s="471" t="s">
        <v>123</v>
      </c>
      <c r="B40" s="472" t="s">
        <v>298</v>
      </c>
      <c r="C40" s="469">
        <f>'6..sz. mell önkormányzat'!C41+' 7..sz. mell Hivatal'!C16+'8. sz. mell. Családsegítő'!C16+'9. sz. mell VGSZ'!C16+'10.sz. mell. Könyvtár'!C16+'11.sz. mell. Óvoda'!C16+'12.sz. mell. Bölcsöde)'!C16</f>
        <v>112000</v>
      </c>
      <c r="D40" s="469">
        <f>'6..sz. mell önkormányzat'!D41+' 7..sz. mell Hivatal'!D16+'8. sz. mell. Családsegítő'!D16+'9. sz. mell VGSZ'!D16+'10.sz. mell. Könyvtár'!D16+'11.sz. mell. Óvoda'!D16+'12.sz. mell. Bölcsöde)'!D16</f>
        <v>112020</v>
      </c>
      <c r="E40" s="474">
        <v>610</v>
      </c>
      <c r="F40" s="470">
        <f t="shared" si="4"/>
        <v>610</v>
      </c>
      <c r="G40" s="474"/>
      <c r="H40" s="474"/>
    </row>
    <row r="41" spans="1:8" s="228" customFormat="1" ht="13.5" customHeight="1">
      <c r="A41" s="471" t="s">
        <v>299</v>
      </c>
      <c r="B41" s="472" t="s">
        <v>300</v>
      </c>
      <c r="C41" s="469">
        <f>'6..sz. mell önkormányzat'!C42+' 7..sz. mell Hivatal'!C17+'8. sz. mell. Családsegítő'!C17+'9. sz. mell VGSZ'!C17+'10.sz. mell. Könyvtár'!C17+'11.sz. mell. Óvoda'!C17+'12.sz. mell. Bölcsöde)'!C17</f>
        <v>0</v>
      </c>
      <c r="D41" s="469">
        <f>'6..sz. mell önkormányzat'!D42+' 7..sz. mell Hivatal'!D17+'8. sz. mell. Családsegítő'!D17+'9. sz. mell VGSZ'!D17+'10.sz. mell. Könyvtár'!D17+'11.sz. mell. Óvoda'!D17+'12.sz. mell. Bölcsöde)'!D17</f>
        <v>0</v>
      </c>
      <c r="E41" s="485">
        <v>5480</v>
      </c>
      <c r="F41" s="470">
        <f t="shared" si="4"/>
        <v>5480</v>
      </c>
      <c r="G41" s="485"/>
      <c r="H41" s="485"/>
    </row>
    <row r="42" spans="1:8" s="228" customFormat="1" ht="13.5" customHeight="1">
      <c r="A42" s="475" t="s">
        <v>301</v>
      </c>
      <c r="B42" s="476" t="s">
        <v>938</v>
      </c>
      <c r="C42" s="469">
        <f>'6..sz. mell önkormányzat'!C43+' 7..sz. mell Hivatal'!C18+'8. sz. mell. Családsegítő'!C18+'9. sz. mell VGSZ'!C18+'10.sz. mell. Könyvtár'!C18+'11.sz. mell. Óvoda'!C18+'12.sz. mell. Bölcsöde)'!C18</f>
        <v>0</v>
      </c>
      <c r="D42" s="469">
        <f>'6..sz. mell önkormányzat'!D43+' 7..sz. mell Hivatal'!D18+'8. sz. mell. Családsegítő'!D18+'9. sz. mell VGSZ'!D18+'10.sz. mell. Könyvtár'!D18+'11.sz. mell. Óvoda'!D18+'12.sz. mell. Bölcsöde)'!D18</f>
        <v>0</v>
      </c>
      <c r="E42" s="487">
        <v>228755</v>
      </c>
      <c r="F42" s="470">
        <f t="shared" si="4"/>
        <v>228755</v>
      </c>
      <c r="G42" s="487"/>
      <c r="H42" s="487"/>
    </row>
    <row r="43" spans="1:8" s="228" customFormat="1" ht="16.5" customHeight="1" thickBot="1">
      <c r="A43" s="475" t="s">
        <v>937</v>
      </c>
      <c r="B43" s="476" t="s">
        <v>302</v>
      </c>
      <c r="C43" s="469">
        <f>'6..sz. mell önkormányzat'!C44+' 7..sz. mell Hivatal'!C19+'8. sz. mell. Családsegítő'!C19+'9. sz. mell VGSZ'!C19+'10.sz. mell. Könyvtár'!C19+'11.sz. mell. Óvoda'!C19+'12.sz. mell. Bölcsöde)'!C19</f>
        <v>98000</v>
      </c>
      <c r="D43" s="469">
        <f>'6..sz. mell önkormányzat'!D44+' 7..sz. mell Hivatal'!D19+'8. sz. mell. Családsegítő'!D19+'9. sz. mell VGSZ'!D19+'10.sz. mell. Könyvtár'!D19+'11.sz. mell. Óvoda'!D19+'12.sz. mell. Bölcsöde)'!D19</f>
        <v>1006705</v>
      </c>
      <c r="E43" s="487">
        <v>2179343</v>
      </c>
      <c r="F43" s="470">
        <f t="shared" si="4"/>
        <v>1879343</v>
      </c>
      <c r="G43" s="487">
        <v>300000</v>
      </c>
      <c r="H43" s="487"/>
    </row>
    <row r="44" spans="1:8" s="228" customFormat="1" ht="16.5" customHeight="1" thickBot="1">
      <c r="A44" s="463" t="s">
        <v>11</v>
      </c>
      <c r="B44" s="464" t="s">
        <v>303</v>
      </c>
      <c r="C44" s="465">
        <f>SUM(C45:C49)</f>
        <v>30000000</v>
      </c>
      <c r="D44" s="465">
        <f>SUM(D45:D49)</f>
        <v>30000000</v>
      </c>
      <c r="E44" s="466">
        <f>SUM(E45:E49)</f>
        <v>14575634</v>
      </c>
      <c r="F44" s="466">
        <f>SUM(F45:F49)</f>
        <v>14575634</v>
      </c>
      <c r="G44" s="466">
        <f>SUM(G45:G49)</f>
        <v>0</v>
      </c>
      <c r="H44" s="466"/>
    </row>
    <row r="45" spans="1:8" s="228" customFormat="1" ht="13.5" customHeight="1">
      <c r="A45" s="467" t="s">
        <v>62</v>
      </c>
      <c r="B45" s="468" t="s">
        <v>304</v>
      </c>
      <c r="C45" s="488"/>
      <c r="D45" s="488"/>
      <c r="E45" s="489"/>
      <c r="F45" s="489"/>
      <c r="G45" s="489"/>
      <c r="H45" s="489"/>
    </row>
    <row r="46" spans="1:8" s="228" customFormat="1" ht="13.5" customHeight="1">
      <c r="A46" s="471" t="s">
        <v>63</v>
      </c>
      <c r="B46" s="472" t="s">
        <v>305</v>
      </c>
      <c r="C46" s="484">
        <v>30000000</v>
      </c>
      <c r="D46" s="484">
        <v>30000000</v>
      </c>
      <c r="E46" s="485">
        <v>14045634</v>
      </c>
      <c r="F46" s="485">
        <v>14045634</v>
      </c>
      <c r="G46" s="485"/>
      <c r="H46" s="485"/>
    </row>
    <row r="47" spans="1:8" s="228" customFormat="1" ht="13.5" customHeight="1">
      <c r="A47" s="471" t="s">
        <v>306</v>
      </c>
      <c r="B47" s="472" t="s">
        <v>307</v>
      </c>
      <c r="C47" s="484"/>
      <c r="D47" s="484"/>
      <c r="E47" s="485">
        <v>530000</v>
      </c>
      <c r="F47" s="485">
        <v>530000</v>
      </c>
      <c r="G47" s="485"/>
      <c r="H47" s="485"/>
    </row>
    <row r="48" spans="1:8" s="228" customFormat="1" ht="13.5" customHeight="1">
      <c r="A48" s="471" t="s">
        <v>308</v>
      </c>
      <c r="B48" s="472" t="s">
        <v>309</v>
      </c>
      <c r="C48" s="484"/>
      <c r="D48" s="484"/>
      <c r="E48" s="485"/>
      <c r="F48" s="485"/>
      <c r="G48" s="485"/>
      <c r="H48" s="485"/>
    </row>
    <row r="49" spans="1:8" s="228" customFormat="1" ht="13.5" customHeight="1" thickBot="1">
      <c r="A49" s="475" t="s">
        <v>310</v>
      </c>
      <c r="B49" s="476" t="s">
        <v>311</v>
      </c>
      <c r="C49" s="486"/>
      <c r="D49" s="486"/>
      <c r="E49" s="487"/>
      <c r="F49" s="487"/>
      <c r="G49" s="487"/>
      <c r="H49" s="487"/>
    </row>
    <row r="50" spans="1:8" s="228" customFormat="1" ht="17.25" customHeight="1" thickBot="1">
      <c r="A50" s="463" t="s">
        <v>124</v>
      </c>
      <c r="B50" s="464" t="s">
        <v>312</v>
      </c>
      <c r="C50" s="465">
        <f>SUM(C51:C53)</f>
        <v>0</v>
      </c>
      <c r="D50" s="465">
        <f>SUM(D51:D53)</f>
        <v>0</v>
      </c>
      <c r="E50" s="466">
        <f>SUM(E51:E53)</f>
        <v>1612188</v>
      </c>
      <c r="F50" s="466">
        <f>SUM(F51:F53)</f>
        <v>1612188</v>
      </c>
      <c r="G50" s="466">
        <f>SUM(G51:G53)</f>
        <v>0</v>
      </c>
      <c r="H50" s="466"/>
    </row>
    <row r="51" spans="1:8" s="228" customFormat="1" ht="13.5" customHeight="1">
      <c r="A51" s="467" t="s">
        <v>64</v>
      </c>
      <c r="B51" s="468" t="s">
        <v>313</v>
      </c>
      <c r="C51" s="469"/>
      <c r="D51" s="469"/>
      <c r="E51" s="470">
        <v>18000</v>
      </c>
      <c r="F51" s="470">
        <v>18000</v>
      </c>
      <c r="G51" s="470"/>
      <c r="H51" s="470"/>
    </row>
    <row r="52" spans="1:8" s="228" customFormat="1" ht="13.5" customHeight="1">
      <c r="A52" s="471" t="s">
        <v>65</v>
      </c>
      <c r="B52" s="472" t="s">
        <v>314</v>
      </c>
      <c r="C52" s="473"/>
      <c r="D52" s="473"/>
      <c r="E52" s="474"/>
      <c r="F52" s="474"/>
      <c r="G52" s="474"/>
      <c r="H52" s="474"/>
    </row>
    <row r="53" spans="1:8" s="228" customFormat="1" ht="13.5" customHeight="1">
      <c r="A53" s="471" t="s">
        <v>315</v>
      </c>
      <c r="B53" s="472" t="s">
        <v>316</v>
      </c>
      <c r="C53" s="473"/>
      <c r="D53" s="473"/>
      <c r="E53" s="474">
        <v>1594188</v>
      </c>
      <c r="F53" s="474">
        <v>1594188</v>
      </c>
      <c r="G53" s="474"/>
      <c r="H53" s="474"/>
    </row>
    <row r="54" spans="1:8" s="228" customFormat="1" ht="13.5" customHeight="1" thickBot="1">
      <c r="A54" s="475" t="s">
        <v>317</v>
      </c>
      <c r="B54" s="476" t="s">
        <v>318</v>
      </c>
      <c r="C54" s="477"/>
      <c r="D54" s="477"/>
      <c r="E54" s="478"/>
      <c r="F54" s="478"/>
      <c r="G54" s="478"/>
      <c r="H54" s="478"/>
    </row>
    <row r="55" spans="1:8" s="228" customFormat="1" ht="20.25" customHeight="1" thickBot="1">
      <c r="A55" s="463" t="s">
        <v>13</v>
      </c>
      <c r="B55" s="479" t="s">
        <v>319</v>
      </c>
      <c r="C55" s="465">
        <f>SUM(C56:C58)</f>
        <v>0</v>
      </c>
      <c r="D55" s="465">
        <f>SUM(D56:D58)</f>
        <v>0</v>
      </c>
      <c r="E55" s="466">
        <f>SUM(E56:E58)</f>
        <v>1770165</v>
      </c>
      <c r="F55" s="466">
        <f>SUM(F56:F58)</f>
        <v>1770165</v>
      </c>
      <c r="G55" s="466">
        <f>SUM(G56:G58)</f>
        <v>0</v>
      </c>
      <c r="H55" s="466"/>
    </row>
    <row r="56" spans="1:8" s="228" customFormat="1" ht="13.5" customHeight="1">
      <c r="A56" s="467" t="s">
        <v>125</v>
      </c>
      <c r="B56" s="468" t="s">
        <v>320</v>
      </c>
      <c r="C56" s="484"/>
      <c r="D56" s="484"/>
      <c r="E56" s="485">
        <v>69000</v>
      </c>
      <c r="F56" s="485">
        <v>69000</v>
      </c>
      <c r="G56" s="485"/>
      <c r="H56" s="485"/>
    </row>
    <row r="57" spans="1:8" s="228" customFormat="1" ht="13.5" customHeight="1">
      <c r="A57" s="471" t="s">
        <v>126</v>
      </c>
      <c r="B57" s="472" t="s">
        <v>321</v>
      </c>
      <c r="C57" s="484"/>
      <c r="D57" s="484"/>
      <c r="E57" s="485"/>
      <c r="F57" s="485"/>
      <c r="G57" s="485"/>
      <c r="H57" s="485"/>
    </row>
    <row r="58" spans="1:8" s="228" customFormat="1" ht="13.5" customHeight="1">
      <c r="A58" s="471" t="s">
        <v>151</v>
      </c>
      <c r="B58" s="472" t="s">
        <v>322</v>
      </c>
      <c r="C58" s="484"/>
      <c r="D58" s="484"/>
      <c r="E58" s="485">
        <v>1701165</v>
      </c>
      <c r="F58" s="485">
        <v>1701165</v>
      </c>
      <c r="G58" s="485"/>
      <c r="H58" s="485"/>
    </row>
    <row r="59" spans="1:8" s="228" customFormat="1" ht="13.5" customHeight="1" thickBot="1">
      <c r="A59" s="475" t="s">
        <v>323</v>
      </c>
      <c r="B59" s="476" t="s">
        <v>324</v>
      </c>
      <c r="C59" s="484"/>
      <c r="D59" s="484"/>
      <c r="E59" s="485"/>
      <c r="F59" s="485"/>
      <c r="G59" s="485"/>
      <c r="H59" s="485"/>
    </row>
    <row r="60" spans="1:8" s="228" customFormat="1" ht="18.75" customHeight="1" thickBot="1">
      <c r="A60" s="463" t="s">
        <v>14</v>
      </c>
      <c r="B60" s="464" t="s">
        <v>325</v>
      </c>
      <c r="C60" s="481">
        <f>+C6+C13+C20+C27+C32+C44+C50+C55</f>
        <v>2279888526</v>
      </c>
      <c r="D60" s="481">
        <f>+D6+D13+D20+D27+D32+D44+D50+D55</f>
        <v>3147287163</v>
      </c>
      <c r="E60" s="490">
        <f>+E6+E13+E20+E27+E32+E44+E50+E55</f>
        <v>2185641877</v>
      </c>
      <c r="F60" s="490">
        <f>+F6+F13+F20+F27+F32+F44+F50+F55</f>
        <v>2185260877</v>
      </c>
      <c r="G60" s="490">
        <f>+G6+G13+G20+G27+G32+G44+G50+G55</f>
        <v>381000</v>
      </c>
      <c r="H60" s="490"/>
    </row>
    <row r="61" spans="1:8" s="228" customFormat="1" ht="19.5" customHeight="1" thickBot="1">
      <c r="A61" s="491" t="s">
        <v>326</v>
      </c>
      <c r="B61" s="479" t="s">
        <v>327</v>
      </c>
      <c r="C61" s="465">
        <f>+C62+C63+C64</f>
        <v>0</v>
      </c>
      <c r="D61" s="465">
        <f>+D62+D63+D64</f>
        <v>0</v>
      </c>
      <c r="E61" s="466">
        <f>+E62+E63+E64</f>
        <v>0</v>
      </c>
      <c r="F61" s="466"/>
      <c r="G61" s="466"/>
      <c r="H61" s="466"/>
    </row>
    <row r="62" spans="1:8" s="228" customFormat="1" ht="13.5" customHeight="1">
      <c r="A62" s="467" t="s">
        <v>328</v>
      </c>
      <c r="B62" s="468" t="s">
        <v>329</v>
      </c>
      <c r="C62" s="484"/>
      <c r="D62" s="484"/>
      <c r="E62" s="485"/>
      <c r="F62" s="485"/>
      <c r="G62" s="485"/>
      <c r="H62" s="485"/>
    </row>
    <row r="63" spans="1:8" s="228" customFormat="1" ht="13.5" customHeight="1">
      <c r="A63" s="471" t="s">
        <v>330</v>
      </c>
      <c r="B63" s="472" t="s">
        <v>331</v>
      </c>
      <c r="C63" s="484"/>
      <c r="D63" s="484"/>
      <c r="E63" s="485"/>
      <c r="F63" s="485"/>
      <c r="G63" s="485"/>
      <c r="H63" s="485"/>
    </row>
    <row r="64" spans="1:8" s="228" customFormat="1" ht="13.5" customHeight="1" thickBot="1">
      <c r="A64" s="475" t="s">
        <v>332</v>
      </c>
      <c r="B64" s="492" t="s">
        <v>377</v>
      </c>
      <c r="C64" s="484"/>
      <c r="D64" s="484"/>
      <c r="E64" s="485"/>
      <c r="F64" s="485"/>
      <c r="G64" s="485"/>
      <c r="H64" s="485"/>
    </row>
    <row r="65" spans="1:8" s="228" customFormat="1" ht="18" customHeight="1" thickBot="1">
      <c r="A65" s="491" t="s">
        <v>334</v>
      </c>
      <c r="B65" s="479" t="s">
        <v>335</v>
      </c>
      <c r="C65" s="465">
        <f>+C66+C67+C68+C69</f>
        <v>0</v>
      </c>
      <c r="D65" s="465">
        <f>+D66+D67+D68+D69</f>
        <v>0</v>
      </c>
      <c r="E65" s="466">
        <f>+E66+E67+E68+E69</f>
        <v>0</v>
      </c>
      <c r="F65" s="466"/>
      <c r="G65" s="466"/>
      <c r="H65" s="466"/>
    </row>
    <row r="66" spans="1:8" s="228" customFormat="1" ht="13.5" customHeight="1">
      <c r="A66" s="467" t="s">
        <v>102</v>
      </c>
      <c r="B66" s="468" t="s">
        <v>336</v>
      </c>
      <c r="C66" s="484"/>
      <c r="D66" s="484"/>
      <c r="E66" s="485"/>
      <c r="F66" s="485"/>
      <c r="G66" s="485"/>
      <c r="H66" s="485"/>
    </row>
    <row r="67" spans="1:8" s="228" customFormat="1" ht="13.5" customHeight="1">
      <c r="A67" s="471" t="s">
        <v>103</v>
      </c>
      <c r="B67" s="472" t="s">
        <v>337</v>
      </c>
      <c r="C67" s="484"/>
      <c r="D67" s="484"/>
      <c r="E67" s="485"/>
      <c r="F67" s="485"/>
      <c r="G67" s="485"/>
      <c r="H67" s="485"/>
    </row>
    <row r="68" spans="1:8" s="228" customFormat="1" ht="13.5" customHeight="1">
      <c r="A68" s="471" t="s">
        <v>338</v>
      </c>
      <c r="B68" s="472" t="s">
        <v>339</v>
      </c>
      <c r="C68" s="484"/>
      <c r="D68" s="484"/>
      <c r="E68" s="485"/>
      <c r="F68" s="485"/>
      <c r="G68" s="485"/>
      <c r="H68" s="485"/>
    </row>
    <row r="69" spans="1:8" s="228" customFormat="1" ht="13.5" customHeight="1" thickBot="1">
      <c r="A69" s="475" t="s">
        <v>340</v>
      </c>
      <c r="B69" s="476" t="s">
        <v>341</v>
      </c>
      <c r="C69" s="484"/>
      <c r="D69" s="484"/>
      <c r="E69" s="485"/>
      <c r="F69" s="485"/>
      <c r="G69" s="485"/>
      <c r="H69" s="485"/>
    </row>
    <row r="70" spans="1:8" s="228" customFormat="1" ht="23.25" customHeight="1" thickBot="1">
      <c r="A70" s="491" t="s">
        <v>342</v>
      </c>
      <c r="B70" s="479" t="s">
        <v>343</v>
      </c>
      <c r="C70" s="465">
        <f>+C71+C72</f>
        <v>562302933</v>
      </c>
      <c r="D70" s="465">
        <f>+D71+D72</f>
        <v>735397467</v>
      </c>
      <c r="E70" s="466">
        <f>+E71+E72</f>
        <v>735397467</v>
      </c>
      <c r="F70" s="466">
        <f>+F71+F72</f>
        <v>735397467</v>
      </c>
      <c r="G70" s="466"/>
      <c r="H70" s="466"/>
    </row>
    <row r="71" spans="1:8" s="228" customFormat="1" ht="16.5" customHeight="1">
      <c r="A71" s="467" t="s">
        <v>344</v>
      </c>
      <c r="B71" s="468" t="s">
        <v>345</v>
      </c>
      <c r="C71" s="484">
        <v>562302933</v>
      </c>
      <c r="D71" s="484">
        <v>735397467</v>
      </c>
      <c r="E71" s="485">
        <v>735397467</v>
      </c>
      <c r="F71" s="485">
        <v>735397467</v>
      </c>
      <c r="G71" s="485"/>
      <c r="H71" s="485"/>
    </row>
    <row r="72" spans="1:8" s="228" customFormat="1" ht="15.75" customHeight="1" thickBot="1">
      <c r="A72" s="475" t="s">
        <v>346</v>
      </c>
      <c r="B72" s="476" t="s">
        <v>347</v>
      </c>
      <c r="C72" s="484"/>
      <c r="D72" s="484"/>
      <c r="E72" s="485"/>
      <c r="F72" s="485"/>
      <c r="G72" s="485"/>
      <c r="H72" s="485"/>
    </row>
    <row r="73" spans="1:8" s="228" customFormat="1" ht="19.5" customHeight="1" thickBot="1">
      <c r="A73" s="491" t="s">
        <v>348</v>
      </c>
      <c r="B73" s="479" t="s">
        <v>349</v>
      </c>
      <c r="C73" s="465">
        <f>SUM(C74:C77)</f>
        <v>887800745</v>
      </c>
      <c r="D73" s="465">
        <f>+D74+D75+D77+D76</f>
        <v>981028900</v>
      </c>
      <c r="E73" s="493">
        <f>+E74+E75+E77+E76</f>
        <v>827266665</v>
      </c>
      <c r="F73" s="493">
        <f>+F74+F75+F77+F76</f>
        <v>827266665</v>
      </c>
      <c r="G73" s="493"/>
      <c r="H73" s="493"/>
    </row>
    <row r="74" spans="1:8" s="228" customFormat="1" ht="13.5" customHeight="1">
      <c r="A74" s="467" t="s">
        <v>350</v>
      </c>
      <c r="B74" s="468" t="s">
        <v>351</v>
      </c>
      <c r="C74" s="484"/>
      <c r="D74" s="484"/>
      <c r="E74" s="485">
        <v>45934599</v>
      </c>
      <c r="F74" s="485">
        <v>45934599</v>
      </c>
      <c r="G74" s="485"/>
      <c r="H74" s="485"/>
    </row>
    <row r="75" spans="1:8" s="228" customFormat="1" ht="13.5" customHeight="1">
      <c r="A75" s="471" t="s">
        <v>352</v>
      </c>
      <c r="B75" s="472" t="s">
        <v>353</v>
      </c>
      <c r="C75" s="484"/>
      <c r="D75" s="484">
        <v>14466562</v>
      </c>
      <c r="E75" s="485"/>
      <c r="F75" s="485"/>
      <c r="G75" s="485"/>
      <c r="H75" s="485"/>
    </row>
    <row r="76" spans="1:8" s="228" customFormat="1" ht="13.5" customHeight="1">
      <c r="A76" s="475" t="s">
        <v>354</v>
      </c>
      <c r="B76" s="476" t="s">
        <v>645</v>
      </c>
      <c r="C76" s="484">
        <v>887800745</v>
      </c>
      <c r="D76" s="484">
        <v>966562338</v>
      </c>
      <c r="E76" s="485">
        <v>781332066</v>
      </c>
      <c r="F76" s="485">
        <f>E76-G76</f>
        <v>781332066</v>
      </c>
      <c r="G76" s="485"/>
      <c r="H76" s="485"/>
    </row>
    <row r="77" spans="1:8" s="228" customFormat="1" ht="13.5" customHeight="1" thickBot="1">
      <c r="A77" s="475" t="s">
        <v>644</v>
      </c>
      <c r="B77" s="480" t="s">
        <v>355</v>
      </c>
      <c r="C77" s="484" t="s">
        <v>684</v>
      </c>
      <c r="D77" s="484"/>
      <c r="E77" s="485"/>
      <c r="F77" s="485"/>
      <c r="G77" s="485"/>
      <c r="H77" s="485"/>
    </row>
    <row r="78" spans="1:8" s="228" customFormat="1" ht="12" customHeight="1" thickBot="1">
      <c r="A78" s="491" t="s">
        <v>356</v>
      </c>
      <c r="B78" s="479" t="s">
        <v>357</v>
      </c>
      <c r="C78" s="465">
        <f>+C79+C80+C81+C82</f>
        <v>0</v>
      </c>
      <c r="D78" s="465">
        <f>+D79+D80+D81+D82</f>
        <v>0</v>
      </c>
      <c r="E78" s="466">
        <f>+E79+E80+E81+E82</f>
        <v>0</v>
      </c>
      <c r="F78" s="466"/>
      <c r="G78" s="466"/>
      <c r="H78" s="466"/>
    </row>
    <row r="79" spans="1:8" s="228" customFormat="1" ht="13.5" customHeight="1">
      <c r="A79" s="494" t="s">
        <v>358</v>
      </c>
      <c r="B79" s="468" t="s">
        <v>359</v>
      </c>
      <c r="C79" s="484"/>
      <c r="D79" s="484"/>
      <c r="E79" s="485"/>
      <c r="F79" s="485"/>
      <c r="G79" s="485"/>
      <c r="H79" s="485"/>
    </row>
    <row r="80" spans="1:8" s="228" customFormat="1" ht="13.5" customHeight="1">
      <c r="A80" s="495" t="s">
        <v>360</v>
      </c>
      <c r="B80" s="472" t="s">
        <v>361</v>
      </c>
      <c r="C80" s="484"/>
      <c r="D80" s="484"/>
      <c r="E80" s="485"/>
      <c r="F80" s="485"/>
      <c r="G80" s="485"/>
      <c r="H80" s="485"/>
    </row>
    <row r="81" spans="1:8" s="228" customFormat="1" ht="13.5" customHeight="1">
      <c r="A81" s="495" t="s">
        <v>362</v>
      </c>
      <c r="B81" s="472" t="s">
        <v>363</v>
      </c>
      <c r="C81" s="484"/>
      <c r="D81" s="484"/>
      <c r="E81" s="485"/>
      <c r="F81" s="485"/>
      <c r="G81" s="485"/>
      <c r="H81" s="485"/>
    </row>
    <row r="82" spans="1:8" s="228" customFormat="1" ht="13.5" customHeight="1" thickBot="1">
      <c r="A82" s="496" t="s">
        <v>364</v>
      </c>
      <c r="B82" s="480" t="s">
        <v>365</v>
      </c>
      <c r="C82" s="484"/>
      <c r="D82" s="484"/>
      <c r="E82" s="485"/>
      <c r="F82" s="485"/>
      <c r="G82" s="485"/>
      <c r="H82" s="485"/>
    </row>
    <row r="83" spans="1:8" s="228" customFormat="1" ht="17.25" customHeight="1" thickBot="1">
      <c r="A83" s="491" t="s">
        <v>366</v>
      </c>
      <c r="B83" s="479" t="s">
        <v>367</v>
      </c>
      <c r="C83" s="497"/>
      <c r="D83" s="497"/>
      <c r="E83" s="498"/>
      <c r="F83" s="498"/>
      <c r="G83" s="498"/>
      <c r="H83" s="498"/>
    </row>
    <row r="84" spans="1:8" s="228" customFormat="1" ht="19.5" customHeight="1" thickBot="1">
      <c r="A84" s="491" t="s">
        <v>368</v>
      </c>
      <c r="B84" s="499" t="s">
        <v>369</v>
      </c>
      <c r="C84" s="481">
        <f aca="true" t="shared" si="5" ref="C84:H84">+C61+C65+C70+C73+C78+C83</f>
        <v>1450103678</v>
      </c>
      <c r="D84" s="481">
        <f t="shared" si="5"/>
        <v>1716426367</v>
      </c>
      <c r="E84" s="490">
        <f t="shared" si="5"/>
        <v>1562664132</v>
      </c>
      <c r="F84" s="490">
        <f t="shared" si="5"/>
        <v>1562664132</v>
      </c>
      <c r="G84" s="490">
        <f t="shared" si="5"/>
        <v>0</v>
      </c>
      <c r="H84" s="490">
        <f t="shared" si="5"/>
        <v>0</v>
      </c>
    </row>
    <row r="85" spans="1:8" s="228" customFormat="1" ht="26.25" customHeight="1" thickBot="1">
      <c r="A85" s="500" t="s">
        <v>370</v>
      </c>
      <c r="B85" s="501" t="s">
        <v>371</v>
      </c>
      <c r="C85" s="481">
        <f aca="true" t="shared" si="6" ref="C85:H85">+C60+C84</f>
        <v>3729992204</v>
      </c>
      <c r="D85" s="481">
        <f t="shared" si="6"/>
        <v>4863713530</v>
      </c>
      <c r="E85" s="490">
        <f t="shared" si="6"/>
        <v>3748306009</v>
      </c>
      <c r="F85" s="490">
        <f t="shared" si="6"/>
        <v>3747925009</v>
      </c>
      <c r="G85" s="490">
        <f t="shared" si="6"/>
        <v>381000</v>
      </c>
      <c r="H85" s="490">
        <f t="shared" si="6"/>
        <v>0</v>
      </c>
    </row>
    <row r="86" spans="1:5" s="228" customFormat="1" ht="12" customHeight="1">
      <c r="A86" s="502"/>
      <c r="B86" s="502"/>
      <c r="C86" s="503"/>
      <c r="D86" s="503"/>
      <c r="E86" s="503"/>
    </row>
    <row r="87" spans="1:5" ht="16.5" customHeight="1">
      <c r="A87" s="864" t="s">
        <v>35</v>
      </c>
      <c r="B87" s="864"/>
      <c r="C87" s="864"/>
      <c r="D87" s="864"/>
      <c r="E87" s="864"/>
    </row>
    <row r="88" spans="1:8" s="232" customFormat="1" ht="16.5" customHeight="1" thickBot="1">
      <c r="A88" s="504" t="s">
        <v>106</v>
      </c>
      <c r="B88" s="504"/>
      <c r="C88" s="505"/>
      <c r="D88" s="505"/>
      <c r="E88" s="505"/>
      <c r="F88" s="505"/>
      <c r="G88" s="505"/>
      <c r="H88" s="505" t="s">
        <v>826</v>
      </c>
    </row>
    <row r="89" spans="1:8" s="232" customFormat="1" ht="16.5" customHeight="1" thickBot="1">
      <c r="A89" s="869" t="s">
        <v>54</v>
      </c>
      <c r="B89" s="871" t="s">
        <v>171</v>
      </c>
      <c r="C89" s="865">
        <f>+C3</f>
        <v>2019</v>
      </c>
      <c r="D89" s="866"/>
      <c r="E89" s="866"/>
      <c r="F89" s="866"/>
      <c r="G89" s="866"/>
      <c r="H89" s="867"/>
    </row>
    <row r="90" spans="1:8" ht="37.5" customHeight="1" thickBot="1">
      <c r="A90" s="870"/>
      <c r="B90" s="872"/>
      <c r="C90" s="678" t="s">
        <v>172</v>
      </c>
      <c r="D90" s="678" t="s">
        <v>176</v>
      </c>
      <c r="E90" s="679" t="s">
        <v>177</v>
      </c>
      <c r="F90" s="314" t="s">
        <v>872</v>
      </c>
      <c r="G90" s="314" t="s">
        <v>873</v>
      </c>
      <c r="H90" s="314" t="s">
        <v>874</v>
      </c>
    </row>
    <row r="91" spans="1:8" s="227" customFormat="1" ht="12" customHeight="1" thickBot="1">
      <c r="A91" s="460" t="s">
        <v>372</v>
      </c>
      <c r="B91" s="461" t="s">
        <v>373</v>
      </c>
      <c r="C91" s="461" t="s">
        <v>374</v>
      </c>
      <c r="D91" s="461" t="s">
        <v>375</v>
      </c>
      <c r="E91" s="506" t="s">
        <v>376</v>
      </c>
      <c r="F91" s="96" t="s">
        <v>451</v>
      </c>
      <c r="G91" s="96" t="s">
        <v>452</v>
      </c>
      <c r="H91" s="96" t="s">
        <v>453</v>
      </c>
    </row>
    <row r="92" spans="1:8" ht="19.5" customHeight="1" thickBot="1">
      <c r="A92" s="463" t="s">
        <v>6</v>
      </c>
      <c r="B92" s="520" t="s">
        <v>827</v>
      </c>
      <c r="C92" s="507">
        <f aca="true" t="shared" si="7" ref="C92:H92">SUM(C93:C97)</f>
        <v>1537940643</v>
      </c>
      <c r="D92" s="507">
        <f t="shared" si="7"/>
        <v>1824127098</v>
      </c>
      <c r="E92" s="508">
        <f t="shared" si="7"/>
        <v>1527205023</v>
      </c>
      <c r="F92" s="508">
        <f t="shared" si="7"/>
        <v>1470883179</v>
      </c>
      <c r="G92" s="466">
        <f t="shared" si="7"/>
        <v>56321844</v>
      </c>
      <c r="H92" s="466">
        <f t="shared" si="7"/>
        <v>0</v>
      </c>
    </row>
    <row r="93" spans="1:8" ht="13.5" customHeight="1">
      <c r="A93" s="467" t="s">
        <v>66</v>
      </c>
      <c r="B93" s="525" t="s">
        <v>36</v>
      </c>
      <c r="C93" s="473">
        <v>753058333</v>
      </c>
      <c r="D93" s="473">
        <v>824426096</v>
      </c>
      <c r="E93" s="473">
        <v>745323538</v>
      </c>
      <c r="F93" s="473">
        <f>E93-G93</f>
        <v>723524945</v>
      </c>
      <c r="G93" s="470">
        <f>'6..sz. mell önkormányzat'!G90+' 7..sz. mell Hivatal'!G46+'8. sz. mell. Családsegítő'!G46+'9. sz. mell VGSZ'!G46+'10.sz. mell. Könyvtár'!G46+'11.sz. mell. Óvoda'!G46+'12.sz. mell. Bölcsöde)'!G46</f>
        <v>21798593</v>
      </c>
      <c r="H93" s="470"/>
    </row>
    <row r="94" spans="1:8" ht="13.5" customHeight="1">
      <c r="A94" s="471" t="s">
        <v>67</v>
      </c>
      <c r="B94" s="509" t="s">
        <v>127</v>
      </c>
      <c r="C94" s="473">
        <v>145901613</v>
      </c>
      <c r="D94" s="473">
        <v>168895718</v>
      </c>
      <c r="E94" s="473">
        <v>152498974</v>
      </c>
      <c r="F94" s="473">
        <f>E94-G94</f>
        <v>144240114</v>
      </c>
      <c r="G94" s="470">
        <f>'6..sz. mell önkormányzat'!G91+' 7..sz. mell Hivatal'!G47+'8. sz. mell. Családsegítő'!G47+'9. sz. mell VGSZ'!G47+'10.sz. mell. Könyvtár'!G47+'11.sz. mell. Óvoda'!G47+'12.sz. mell. Bölcsöde)'!G47</f>
        <v>8258860</v>
      </c>
      <c r="H94" s="474"/>
    </row>
    <row r="95" spans="1:8" ht="13.5" customHeight="1">
      <c r="A95" s="471" t="s">
        <v>68</v>
      </c>
      <c r="B95" s="509" t="s">
        <v>95</v>
      </c>
      <c r="C95" s="473">
        <v>374745309</v>
      </c>
      <c r="D95" s="473">
        <v>551645988</v>
      </c>
      <c r="E95" s="473">
        <v>476100939</v>
      </c>
      <c r="F95" s="473">
        <f>E95-G95</f>
        <v>467636823</v>
      </c>
      <c r="G95" s="470">
        <f>'6..sz. mell önkormányzat'!G92+' 7..sz. mell Hivatal'!G48+'8. sz. mell. Családsegítő'!G48+'9. sz. mell VGSZ'!G48+'10.sz. mell. Könyvtár'!G48+'11.sz. mell. Óvoda'!G48+'12.sz. mell. Bölcsöde)'!G48</f>
        <v>8464116</v>
      </c>
      <c r="H95" s="478"/>
    </row>
    <row r="96" spans="1:8" ht="13.5" customHeight="1">
      <c r="A96" s="471" t="s">
        <v>69</v>
      </c>
      <c r="B96" s="510" t="s">
        <v>128</v>
      </c>
      <c r="C96" s="473">
        <v>38150000</v>
      </c>
      <c r="D96" s="473">
        <v>38150000</v>
      </c>
      <c r="E96" s="473">
        <v>17122562</v>
      </c>
      <c r="F96" s="473">
        <f>E96-G96</f>
        <v>17122562</v>
      </c>
      <c r="G96" s="470">
        <f>'6..sz. mell önkormányzat'!G93+' 7..sz. mell Hivatal'!G49+'8. sz. mell. Családsegítő'!G49+'9. sz. mell VGSZ'!G49+'10.sz. mell. Könyvtár'!G49+'11.sz. mell. Óvoda'!G49+'12.sz. mell. Bölcsöde)'!G49</f>
        <v>0</v>
      </c>
      <c r="H96" s="478"/>
    </row>
    <row r="97" spans="1:8" ht="13.5" customHeight="1">
      <c r="A97" s="471" t="s">
        <v>78</v>
      </c>
      <c r="B97" s="511" t="s">
        <v>129</v>
      </c>
      <c r="C97" s="473">
        <v>226085388</v>
      </c>
      <c r="D97" s="473">
        <v>241009296</v>
      </c>
      <c r="E97" s="473">
        <v>136159010</v>
      </c>
      <c r="F97" s="473">
        <f aca="true" t="shared" si="8" ref="F97:F108">E97-G97</f>
        <v>118358735</v>
      </c>
      <c r="G97" s="470">
        <f>'6..sz. mell önkormányzat'!G94+' 7..sz. mell Hivatal'!G50+'8. sz. mell. Családsegítő'!G50+'9. sz. mell VGSZ'!G50+'10.sz. mell. Könyvtár'!G50+'11.sz. mell. Óvoda'!G50+'12.sz. mell. Bölcsöde)'!G50</f>
        <v>17800275</v>
      </c>
      <c r="H97" s="478"/>
    </row>
    <row r="98" spans="1:8" ht="13.5" customHeight="1">
      <c r="A98" s="471" t="s">
        <v>70</v>
      </c>
      <c r="B98" s="509" t="s">
        <v>379</v>
      </c>
      <c r="C98" s="473">
        <v>22008700</v>
      </c>
      <c r="D98" s="473"/>
      <c r="E98" s="473">
        <v>14010662</v>
      </c>
      <c r="F98" s="473">
        <f t="shared" si="8"/>
        <v>14010662</v>
      </c>
      <c r="G98" s="478"/>
      <c r="H98" s="478"/>
    </row>
    <row r="99" spans="1:8" ht="13.5" customHeight="1">
      <c r="A99" s="471" t="s">
        <v>71</v>
      </c>
      <c r="B99" s="512" t="s">
        <v>647</v>
      </c>
      <c r="C99" s="473"/>
      <c r="D99" s="473"/>
      <c r="E99" s="473"/>
      <c r="F99" s="473">
        <f t="shared" si="8"/>
        <v>0</v>
      </c>
      <c r="G99" s="478"/>
      <c r="H99" s="478"/>
    </row>
    <row r="100" spans="1:8" ht="13.5" customHeight="1">
      <c r="A100" s="471" t="s">
        <v>79</v>
      </c>
      <c r="B100" s="513" t="s">
        <v>655</v>
      </c>
      <c r="C100" s="473"/>
      <c r="D100" s="473"/>
      <c r="E100" s="473"/>
      <c r="F100" s="473">
        <f t="shared" si="8"/>
        <v>0</v>
      </c>
      <c r="G100" s="478"/>
      <c r="H100" s="478"/>
    </row>
    <row r="101" spans="1:8" ht="13.5" customHeight="1">
      <c r="A101" s="471" t="s">
        <v>80</v>
      </c>
      <c r="B101" s="513" t="s">
        <v>648</v>
      </c>
      <c r="C101" s="477"/>
      <c r="D101" s="477"/>
      <c r="E101" s="478"/>
      <c r="F101" s="473">
        <f t="shared" si="8"/>
        <v>0</v>
      </c>
      <c r="G101" s="478"/>
      <c r="H101" s="478"/>
    </row>
    <row r="102" spans="1:8" ht="13.5" customHeight="1">
      <c r="A102" s="471" t="s">
        <v>81</v>
      </c>
      <c r="B102" s="512" t="s">
        <v>383</v>
      </c>
      <c r="C102" s="477">
        <v>100645575</v>
      </c>
      <c r="D102" s="477">
        <v>109257687</v>
      </c>
      <c r="E102" s="478">
        <v>104271873</v>
      </c>
      <c r="F102" s="473">
        <f t="shared" si="8"/>
        <v>104271873</v>
      </c>
      <c r="G102" s="478"/>
      <c r="H102" s="478"/>
    </row>
    <row r="103" spans="1:8" ht="13.5" customHeight="1">
      <c r="A103" s="471" t="s">
        <v>82</v>
      </c>
      <c r="B103" s="512" t="s">
        <v>649</v>
      </c>
      <c r="C103" s="477"/>
      <c r="D103" s="477"/>
      <c r="E103" s="478"/>
      <c r="F103" s="473">
        <f t="shared" si="8"/>
        <v>0</v>
      </c>
      <c r="G103" s="478"/>
      <c r="H103" s="478"/>
    </row>
    <row r="104" spans="1:8" ht="13.5" customHeight="1">
      <c r="A104" s="471" t="s">
        <v>84</v>
      </c>
      <c r="B104" s="513" t="s">
        <v>650</v>
      </c>
      <c r="C104" s="477">
        <v>400000</v>
      </c>
      <c r="D104" s="477">
        <v>400000</v>
      </c>
      <c r="E104" s="478">
        <v>76200</v>
      </c>
      <c r="F104" s="473">
        <f t="shared" si="8"/>
        <v>76200</v>
      </c>
      <c r="G104" s="478"/>
      <c r="H104" s="478"/>
    </row>
    <row r="105" spans="1:8" ht="13.5" customHeight="1">
      <c r="A105" s="514" t="s">
        <v>130</v>
      </c>
      <c r="B105" s="515" t="s">
        <v>651</v>
      </c>
      <c r="C105" s="477"/>
      <c r="D105" s="477"/>
      <c r="E105" s="478"/>
      <c r="F105" s="473">
        <f t="shared" si="8"/>
        <v>0</v>
      </c>
      <c r="G105" s="478"/>
      <c r="H105" s="478"/>
    </row>
    <row r="106" spans="1:8" ht="13.5" customHeight="1">
      <c r="A106" s="471" t="s">
        <v>387</v>
      </c>
      <c r="B106" s="515" t="s">
        <v>652</v>
      </c>
      <c r="C106" s="477"/>
      <c r="D106" s="477"/>
      <c r="E106" s="478"/>
      <c r="F106" s="473">
        <f t="shared" si="8"/>
        <v>0</v>
      </c>
      <c r="G106" s="478"/>
      <c r="H106" s="478"/>
    </row>
    <row r="107" spans="1:8" ht="13.5" customHeight="1">
      <c r="A107" s="475" t="s">
        <v>389</v>
      </c>
      <c r="B107" s="515" t="s">
        <v>653</v>
      </c>
      <c r="C107" s="477">
        <v>19277290</v>
      </c>
      <c r="D107" s="477">
        <v>23777290</v>
      </c>
      <c r="E107" s="478">
        <v>17800275</v>
      </c>
      <c r="F107" s="473">
        <f t="shared" si="8"/>
        <v>0</v>
      </c>
      <c r="G107" s="478">
        <f>'6..sz. mell önkormányzat'!G104</f>
        <v>17800275</v>
      </c>
      <c r="H107" s="478"/>
    </row>
    <row r="108" spans="1:8" ht="13.5" customHeight="1" thickBot="1">
      <c r="A108" s="516" t="s">
        <v>646</v>
      </c>
      <c r="B108" s="517" t="s">
        <v>654</v>
      </c>
      <c r="C108" s="518">
        <v>83753823</v>
      </c>
      <c r="D108" s="518">
        <v>107574319</v>
      </c>
      <c r="E108" s="519"/>
      <c r="F108" s="473">
        <f t="shared" si="8"/>
        <v>0</v>
      </c>
      <c r="G108" s="519"/>
      <c r="H108" s="519"/>
    </row>
    <row r="109" spans="1:8" ht="17.25" customHeight="1" thickBot="1">
      <c r="A109" s="463" t="s">
        <v>7</v>
      </c>
      <c r="B109" s="520" t="s">
        <v>828</v>
      </c>
      <c r="C109" s="465">
        <f>+C110+C112+C114</f>
        <v>1276353157</v>
      </c>
      <c r="D109" s="465">
        <f>+D110+D112+D114</f>
        <v>2030738807</v>
      </c>
      <c r="E109" s="466">
        <f>+E110+E112+E114</f>
        <v>593286402</v>
      </c>
      <c r="F109" s="466">
        <f>+F110+F112+F114</f>
        <v>593286402</v>
      </c>
      <c r="G109" s="466"/>
      <c r="H109" s="466"/>
    </row>
    <row r="110" spans="1:8" ht="13.5" customHeight="1">
      <c r="A110" s="467" t="s">
        <v>72</v>
      </c>
      <c r="B110" s="509" t="s">
        <v>150</v>
      </c>
      <c r="C110" s="469">
        <v>933557483</v>
      </c>
      <c r="D110" s="469">
        <v>675364675</v>
      </c>
      <c r="E110" s="470">
        <v>316567572</v>
      </c>
      <c r="F110" s="470">
        <f>E110-G110</f>
        <v>316567572</v>
      </c>
      <c r="G110" s="470"/>
      <c r="H110" s="470"/>
    </row>
    <row r="111" spans="1:8" ht="13.5" customHeight="1">
      <c r="A111" s="467" t="s">
        <v>73</v>
      </c>
      <c r="B111" s="521" t="s">
        <v>392</v>
      </c>
      <c r="C111" s="469"/>
      <c r="D111" s="469"/>
      <c r="E111" s="470"/>
      <c r="F111" s="470">
        <f aca="true" t="shared" si="9" ref="F111:F120">E111-G111</f>
        <v>0</v>
      </c>
      <c r="G111" s="470"/>
      <c r="H111" s="470"/>
    </row>
    <row r="112" spans="1:8" ht="13.5" customHeight="1">
      <c r="A112" s="467" t="s">
        <v>74</v>
      </c>
      <c r="B112" s="521" t="s">
        <v>131</v>
      </c>
      <c r="C112" s="473">
        <v>302795674</v>
      </c>
      <c r="D112" s="473">
        <v>1311454132</v>
      </c>
      <c r="E112" s="474">
        <v>256006172</v>
      </c>
      <c r="F112" s="470">
        <f t="shared" si="9"/>
        <v>256006172</v>
      </c>
      <c r="G112" s="474"/>
      <c r="H112" s="474"/>
    </row>
    <row r="113" spans="1:8" ht="13.5" customHeight="1">
      <c r="A113" s="467" t="s">
        <v>75</v>
      </c>
      <c r="B113" s="521" t="s">
        <v>393</v>
      </c>
      <c r="C113" s="473"/>
      <c r="D113" s="473"/>
      <c r="E113" s="474"/>
      <c r="F113" s="470">
        <f t="shared" si="9"/>
        <v>0</v>
      </c>
      <c r="G113" s="474"/>
      <c r="H113" s="474"/>
    </row>
    <row r="114" spans="1:8" ht="13.5" customHeight="1">
      <c r="A114" s="467" t="s">
        <v>76</v>
      </c>
      <c r="B114" s="480" t="s">
        <v>152</v>
      </c>
      <c r="C114" s="473">
        <v>40000000</v>
      </c>
      <c r="D114" s="473">
        <v>43920000</v>
      </c>
      <c r="E114" s="474">
        <v>20712658</v>
      </c>
      <c r="F114" s="470">
        <f t="shared" si="9"/>
        <v>20712658</v>
      </c>
      <c r="G114" s="474"/>
      <c r="H114" s="474"/>
    </row>
    <row r="115" spans="1:8" ht="13.5" customHeight="1">
      <c r="A115" s="467" t="s">
        <v>83</v>
      </c>
      <c r="B115" s="522" t="s">
        <v>394</v>
      </c>
      <c r="C115" s="473"/>
      <c r="D115" s="473"/>
      <c r="E115" s="474">
        <v>3920000</v>
      </c>
      <c r="F115" s="470">
        <f t="shared" si="9"/>
        <v>3920000</v>
      </c>
      <c r="G115" s="474"/>
      <c r="H115" s="474"/>
    </row>
    <row r="116" spans="1:8" ht="13.5" customHeight="1">
      <c r="A116" s="467" t="s">
        <v>85</v>
      </c>
      <c r="B116" s="523" t="s">
        <v>395</v>
      </c>
      <c r="C116" s="473"/>
      <c r="D116" s="473"/>
      <c r="E116" s="474"/>
      <c r="F116" s="470">
        <f t="shared" si="9"/>
        <v>0</v>
      </c>
      <c r="G116" s="474"/>
      <c r="H116" s="474"/>
    </row>
    <row r="117" spans="1:8" ht="13.5" customHeight="1">
      <c r="A117" s="467" t="s">
        <v>132</v>
      </c>
      <c r="B117" s="513" t="s">
        <v>382</v>
      </c>
      <c r="C117" s="473"/>
      <c r="D117" s="473"/>
      <c r="E117" s="474"/>
      <c r="F117" s="470">
        <f t="shared" si="9"/>
        <v>0</v>
      </c>
      <c r="G117" s="474"/>
      <c r="H117" s="474"/>
    </row>
    <row r="118" spans="1:8" ht="13.5" customHeight="1">
      <c r="A118" s="467" t="s">
        <v>133</v>
      </c>
      <c r="B118" s="513" t="s">
        <v>396</v>
      </c>
      <c r="C118" s="473"/>
      <c r="D118" s="473"/>
      <c r="E118" s="474"/>
      <c r="F118" s="470">
        <f t="shared" si="9"/>
        <v>0</v>
      </c>
      <c r="G118" s="474"/>
      <c r="H118" s="474"/>
    </row>
    <row r="119" spans="1:8" ht="13.5" customHeight="1">
      <c r="A119" s="467" t="s">
        <v>134</v>
      </c>
      <c r="B119" s="513" t="s">
        <v>397</v>
      </c>
      <c r="C119" s="473"/>
      <c r="D119" s="473"/>
      <c r="E119" s="474"/>
      <c r="F119" s="470">
        <f t="shared" si="9"/>
        <v>0</v>
      </c>
      <c r="G119" s="474"/>
      <c r="H119" s="474"/>
    </row>
    <row r="120" spans="1:8" s="238" customFormat="1" ht="13.5" customHeight="1">
      <c r="A120" s="467" t="s">
        <v>398</v>
      </c>
      <c r="B120" s="513" t="s">
        <v>385</v>
      </c>
      <c r="C120" s="473"/>
      <c r="D120" s="473"/>
      <c r="E120" s="474"/>
      <c r="F120" s="470">
        <f t="shared" si="9"/>
        <v>0</v>
      </c>
      <c r="G120" s="474"/>
      <c r="H120" s="474"/>
    </row>
    <row r="121" spans="1:8" ht="13.5" customHeight="1">
      <c r="A121" s="467" t="s">
        <v>399</v>
      </c>
      <c r="B121" s="513" t="s">
        <v>400</v>
      </c>
      <c r="C121" s="473"/>
      <c r="D121" s="473"/>
      <c r="E121" s="474"/>
      <c r="F121" s="474"/>
      <c r="G121" s="474"/>
      <c r="H121" s="474"/>
    </row>
    <row r="122" spans="1:8" ht="13.5" customHeight="1" thickBot="1">
      <c r="A122" s="514" t="s">
        <v>401</v>
      </c>
      <c r="B122" s="513" t="s">
        <v>402</v>
      </c>
      <c r="C122" s="477">
        <v>40000000</v>
      </c>
      <c r="D122" s="477">
        <v>43920000</v>
      </c>
      <c r="E122" s="478">
        <v>16792658</v>
      </c>
      <c r="F122" s="478">
        <v>16792658</v>
      </c>
      <c r="G122" s="478"/>
      <c r="H122" s="478"/>
    </row>
    <row r="123" spans="1:8" ht="12" customHeight="1" thickBot="1">
      <c r="A123" s="463" t="s">
        <v>8</v>
      </c>
      <c r="B123" s="524" t="s">
        <v>403</v>
      </c>
      <c r="C123" s="465">
        <f>+C124+C125</f>
        <v>0</v>
      </c>
      <c r="D123" s="465">
        <f>+D124+D125</f>
        <v>0</v>
      </c>
      <c r="E123" s="466">
        <f>+E124+E125</f>
        <v>0</v>
      </c>
      <c r="F123" s="466">
        <f>+F124+F125</f>
        <v>0</v>
      </c>
      <c r="G123" s="466"/>
      <c r="H123" s="466"/>
    </row>
    <row r="124" spans="1:8" ht="13.5" customHeight="1">
      <c r="A124" s="467" t="s">
        <v>55</v>
      </c>
      <c r="B124" s="525" t="s">
        <v>44</v>
      </c>
      <c r="C124" s="469"/>
      <c r="D124" s="469"/>
      <c r="E124" s="470"/>
      <c r="F124" s="470"/>
      <c r="G124" s="470"/>
      <c r="H124" s="470"/>
    </row>
    <row r="125" spans="1:8" ht="13.5" customHeight="1" thickBot="1">
      <c r="A125" s="475" t="s">
        <v>56</v>
      </c>
      <c r="B125" s="521" t="s">
        <v>45</v>
      </c>
      <c r="C125" s="477"/>
      <c r="D125" s="477"/>
      <c r="E125" s="478"/>
      <c r="F125" s="478"/>
      <c r="G125" s="478"/>
      <c r="H125" s="478"/>
    </row>
    <row r="126" spans="1:8" ht="17.25" customHeight="1" thickBot="1">
      <c r="A126" s="463" t="s">
        <v>9</v>
      </c>
      <c r="B126" s="524" t="s">
        <v>404</v>
      </c>
      <c r="C126" s="465">
        <f>+C92+C109+C123+1</f>
        <v>2814293801</v>
      </c>
      <c r="D126" s="465">
        <f>+D92+D109+D123</f>
        <v>3854865905</v>
      </c>
      <c r="E126" s="466">
        <f>+E92+E109+E123</f>
        <v>2120491425</v>
      </c>
      <c r="F126" s="466">
        <f>+F92+F109+F123</f>
        <v>2064169581</v>
      </c>
      <c r="G126" s="466">
        <f>+G92+G109+G123</f>
        <v>56321844</v>
      </c>
      <c r="H126" s="466"/>
    </row>
    <row r="127" spans="1:8" ht="12" customHeight="1" thickBot="1">
      <c r="A127" s="463" t="s">
        <v>10</v>
      </c>
      <c r="B127" s="524" t="s">
        <v>405</v>
      </c>
      <c r="C127" s="465">
        <f>+C128+C129+C130</f>
        <v>0</v>
      </c>
      <c r="D127" s="465">
        <f>+D128+D129+D130</f>
        <v>0</v>
      </c>
      <c r="E127" s="466">
        <f>+E128+E129+E130</f>
        <v>0</v>
      </c>
      <c r="F127" s="466">
        <f>+F128+F129+F130</f>
        <v>0</v>
      </c>
      <c r="G127" s="466"/>
      <c r="H127" s="466"/>
    </row>
    <row r="128" spans="1:8" ht="13.5" customHeight="1">
      <c r="A128" s="467" t="s">
        <v>59</v>
      </c>
      <c r="B128" s="525" t="s">
        <v>406</v>
      </c>
      <c r="C128" s="473"/>
      <c r="D128" s="473"/>
      <c r="E128" s="474"/>
      <c r="F128" s="474"/>
      <c r="G128" s="474"/>
      <c r="H128" s="474"/>
    </row>
    <row r="129" spans="1:8" ht="13.5" customHeight="1">
      <c r="A129" s="467" t="s">
        <v>60</v>
      </c>
      <c r="B129" s="525" t="s">
        <v>407</v>
      </c>
      <c r="C129" s="473"/>
      <c r="D129" s="473"/>
      <c r="E129" s="474"/>
      <c r="F129" s="474"/>
      <c r="G129" s="474"/>
      <c r="H129" s="474"/>
    </row>
    <row r="130" spans="1:8" ht="13.5" customHeight="1" thickBot="1">
      <c r="A130" s="514" t="s">
        <v>61</v>
      </c>
      <c r="B130" s="526" t="s">
        <v>408</v>
      </c>
      <c r="C130" s="473"/>
      <c r="D130" s="473"/>
      <c r="E130" s="474"/>
      <c r="F130" s="474"/>
      <c r="G130" s="474"/>
      <c r="H130" s="474"/>
    </row>
    <row r="131" spans="1:8" ht="13.5" customHeight="1" thickBot="1">
      <c r="A131" s="463" t="s">
        <v>11</v>
      </c>
      <c r="B131" s="524" t="s">
        <v>409</v>
      </c>
      <c r="C131" s="465">
        <f>+C132+C133+C135+C134</f>
        <v>0</v>
      </c>
      <c r="D131" s="465">
        <f>+D132+D133+D135+D134</f>
        <v>0</v>
      </c>
      <c r="E131" s="465">
        <f>+E132+E133+E135+E134</f>
        <v>0</v>
      </c>
      <c r="F131" s="465">
        <f>+F132+F133+F135+F134</f>
        <v>0</v>
      </c>
      <c r="G131" s="465"/>
      <c r="H131" s="465"/>
    </row>
    <row r="132" spans="1:8" ht="13.5" customHeight="1">
      <c r="A132" s="467" t="s">
        <v>62</v>
      </c>
      <c r="B132" s="525" t="s">
        <v>410</v>
      </c>
      <c r="C132" s="473"/>
      <c r="D132" s="473"/>
      <c r="E132" s="474"/>
      <c r="F132" s="474"/>
      <c r="G132" s="474"/>
      <c r="H132" s="474"/>
    </row>
    <row r="133" spans="1:8" ht="13.5" customHeight="1">
      <c r="A133" s="467" t="s">
        <v>63</v>
      </c>
      <c r="B133" s="509" t="s">
        <v>411</v>
      </c>
      <c r="C133" s="473"/>
      <c r="D133" s="473"/>
      <c r="E133" s="474"/>
      <c r="F133" s="474"/>
      <c r="G133" s="474"/>
      <c r="H133" s="474"/>
    </row>
    <row r="134" spans="1:8" ht="13.5" customHeight="1">
      <c r="A134" s="467" t="s">
        <v>306</v>
      </c>
      <c r="B134" s="525" t="s">
        <v>412</v>
      </c>
      <c r="C134" s="473"/>
      <c r="D134" s="473"/>
      <c r="E134" s="474"/>
      <c r="F134" s="474"/>
      <c r="G134" s="474"/>
      <c r="H134" s="474"/>
    </row>
    <row r="135" spans="1:8" ht="13.5" customHeight="1" thickBot="1">
      <c r="A135" s="514" t="s">
        <v>308</v>
      </c>
      <c r="B135" s="526" t="s">
        <v>413</v>
      </c>
      <c r="C135" s="473"/>
      <c r="D135" s="473"/>
      <c r="E135" s="474"/>
      <c r="F135" s="474"/>
      <c r="G135" s="474"/>
      <c r="H135" s="474"/>
    </row>
    <row r="136" spans="1:8" ht="13.5" customHeight="1" thickBot="1">
      <c r="A136" s="463" t="s">
        <v>12</v>
      </c>
      <c r="B136" s="524" t="s">
        <v>613</v>
      </c>
      <c r="C136" s="481">
        <f>+C137+C138+C140+C141+C139</f>
        <v>915698403</v>
      </c>
      <c r="D136" s="481">
        <f>+D137+D138+D140+D141+D139</f>
        <v>1008847625</v>
      </c>
      <c r="E136" s="527">
        <f>+E137+E138+E140+E141+E139</f>
        <v>823617353</v>
      </c>
      <c r="F136" s="527">
        <f>+F137+F138+F140+F141+F139</f>
        <v>823617353</v>
      </c>
      <c r="G136" s="527">
        <f>+G137+G138+G140+G141+G139</f>
        <v>0</v>
      </c>
      <c r="H136" s="527"/>
    </row>
    <row r="137" spans="1:8" ht="13.5" customHeight="1">
      <c r="A137" s="467" t="s">
        <v>64</v>
      </c>
      <c r="B137" s="525" t="s">
        <v>414</v>
      </c>
      <c r="C137" s="473"/>
      <c r="D137" s="473"/>
      <c r="E137" s="474"/>
      <c r="F137" s="474"/>
      <c r="G137" s="474"/>
      <c r="H137" s="474"/>
    </row>
    <row r="138" spans="1:8" ht="13.5" customHeight="1">
      <c r="A138" s="467" t="s">
        <v>65</v>
      </c>
      <c r="B138" s="525" t="s">
        <v>415</v>
      </c>
      <c r="C138" s="473">
        <v>27897658</v>
      </c>
      <c r="D138" s="473">
        <v>42285287</v>
      </c>
      <c r="E138" s="474">
        <v>42285287</v>
      </c>
      <c r="F138" s="474">
        <v>42285287</v>
      </c>
      <c r="G138" s="474"/>
      <c r="H138" s="474"/>
    </row>
    <row r="139" spans="1:8" ht="13.5" customHeight="1">
      <c r="A139" s="467" t="s">
        <v>315</v>
      </c>
      <c r="B139" s="522" t="s">
        <v>645</v>
      </c>
      <c r="C139" s="473">
        <v>887800745</v>
      </c>
      <c r="D139" s="473">
        <v>966562338</v>
      </c>
      <c r="E139" s="485">
        <v>781332066</v>
      </c>
      <c r="F139" s="474">
        <v>781332066</v>
      </c>
      <c r="G139" s="474"/>
      <c r="H139" s="474"/>
    </row>
    <row r="140" spans="1:8" ht="13.5" customHeight="1">
      <c r="A140" s="467" t="s">
        <v>317</v>
      </c>
      <c r="B140" s="525" t="s">
        <v>528</v>
      </c>
      <c r="C140" s="473"/>
      <c r="D140" s="473"/>
      <c r="E140" s="474"/>
      <c r="F140" s="474"/>
      <c r="G140" s="474"/>
      <c r="H140" s="474"/>
    </row>
    <row r="141" spans="1:8" ht="13.5" customHeight="1" thickBot="1">
      <c r="A141" s="514" t="s">
        <v>611</v>
      </c>
      <c r="B141" s="526" t="s">
        <v>458</v>
      </c>
      <c r="C141" s="473"/>
      <c r="D141" s="473"/>
      <c r="E141" s="474"/>
      <c r="F141" s="474"/>
      <c r="G141" s="474"/>
      <c r="H141" s="474"/>
    </row>
    <row r="142" spans="1:9" ht="13.5" customHeight="1" thickBot="1">
      <c r="A142" s="463" t="s">
        <v>13</v>
      </c>
      <c r="B142" s="524" t="s">
        <v>418</v>
      </c>
      <c r="C142" s="528">
        <f>+C143+C144+C145+C146</f>
        <v>0</v>
      </c>
      <c r="D142" s="528">
        <f>+D143+D144+D145+D146</f>
        <v>0</v>
      </c>
      <c r="E142" s="529">
        <f>+E143+E144+E145+E146</f>
        <v>0</v>
      </c>
      <c r="F142" s="529">
        <f>+F143+F144+F145+F146</f>
        <v>0</v>
      </c>
      <c r="G142" s="529"/>
      <c r="H142" s="529"/>
      <c r="I142" s="233"/>
    </row>
    <row r="143" spans="1:8" s="228" customFormat="1" ht="13.5" customHeight="1">
      <c r="A143" s="467" t="s">
        <v>125</v>
      </c>
      <c r="B143" s="525" t="s">
        <v>419</v>
      </c>
      <c r="C143" s="473"/>
      <c r="D143" s="473"/>
      <c r="E143" s="474"/>
      <c r="F143" s="474"/>
      <c r="G143" s="474"/>
      <c r="H143" s="474"/>
    </row>
    <row r="144" spans="1:8" ht="13.5" customHeight="1">
      <c r="A144" s="467" t="s">
        <v>126</v>
      </c>
      <c r="B144" s="525" t="s">
        <v>420</v>
      </c>
      <c r="C144" s="473"/>
      <c r="D144" s="473"/>
      <c r="E144" s="474"/>
      <c r="F144" s="474"/>
      <c r="G144" s="474"/>
      <c r="H144" s="474"/>
    </row>
    <row r="145" spans="1:8" ht="13.5" customHeight="1">
      <c r="A145" s="467" t="s">
        <v>151</v>
      </c>
      <c r="B145" s="525" t="s">
        <v>421</v>
      </c>
      <c r="C145" s="473"/>
      <c r="D145" s="473"/>
      <c r="E145" s="474"/>
      <c r="F145" s="474"/>
      <c r="G145" s="474"/>
      <c r="H145" s="474"/>
    </row>
    <row r="146" spans="1:8" ht="13.5" customHeight="1" thickBot="1">
      <c r="A146" s="467" t="s">
        <v>323</v>
      </c>
      <c r="B146" s="525" t="s">
        <v>422</v>
      </c>
      <c r="C146" s="473"/>
      <c r="D146" s="473"/>
      <c r="E146" s="474"/>
      <c r="F146" s="474"/>
      <c r="G146" s="474"/>
      <c r="H146" s="474"/>
    </row>
    <row r="147" spans="1:8" ht="15.75" thickBot="1">
      <c r="A147" s="463" t="s">
        <v>14</v>
      </c>
      <c r="B147" s="524" t="s">
        <v>423</v>
      </c>
      <c r="C147" s="530">
        <f>+C127+C131+C136+C142</f>
        <v>915698403</v>
      </c>
      <c r="D147" s="530">
        <f>+D127+D131+D136+D142</f>
        <v>1008847625</v>
      </c>
      <c r="E147" s="531">
        <f>+E127+E131+E136+E142</f>
        <v>823617353</v>
      </c>
      <c r="F147" s="531">
        <f>+F127+F131+F136+F142</f>
        <v>823617353</v>
      </c>
      <c r="G147" s="531">
        <f>+G127+G131+G136+G142</f>
        <v>0</v>
      </c>
      <c r="H147" s="531"/>
    </row>
    <row r="148" spans="1:8" ht="15.75" thickBot="1">
      <c r="A148" s="532" t="s">
        <v>15</v>
      </c>
      <c r="B148" s="533" t="s">
        <v>424</v>
      </c>
      <c r="C148" s="530">
        <f>+C126+C147</f>
        <v>3729992204</v>
      </c>
      <c r="D148" s="530">
        <f>+D126+D147</f>
        <v>4863713530</v>
      </c>
      <c r="E148" s="531">
        <f>+E126+E147</f>
        <v>2944108778</v>
      </c>
      <c r="F148" s="531">
        <f>+F126+F147</f>
        <v>2887786934</v>
      </c>
      <c r="G148" s="531">
        <f>+G126+G147</f>
        <v>56321844</v>
      </c>
      <c r="H148" s="531"/>
    </row>
    <row r="150" spans="1:5" ht="18.75" customHeight="1">
      <c r="A150" s="868" t="s">
        <v>425</v>
      </c>
      <c r="B150" s="868"/>
      <c r="C150" s="868"/>
      <c r="D150" s="868"/>
      <c r="E150" s="868"/>
    </row>
    <row r="151" spans="1:8" ht="13.5" customHeight="1" thickBot="1">
      <c r="A151" s="534" t="s">
        <v>107</v>
      </c>
      <c r="B151" s="534"/>
      <c r="C151" s="216"/>
      <c r="E151" s="535"/>
      <c r="F151" s="535"/>
      <c r="G151" s="535"/>
      <c r="H151" s="535" t="s">
        <v>875</v>
      </c>
    </row>
    <row r="152" spans="1:8" ht="31.5" thickBot="1">
      <c r="A152" s="463">
        <v>1</v>
      </c>
      <c r="B152" s="520" t="s">
        <v>426</v>
      </c>
      <c r="C152" s="493">
        <f>+C60-C126</f>
        <v>-534405275</v>
      </c>
      <c r="D152" s="493">
        <f>+D60-D126</f>
        <v>-707578742</v>
      </c>
      <c r="E152" s="493">
        <f>+E60-E126</f>
        <v>65150452</v>
      </c>
      <c r="F152" s="493"/>
      <c r="G152" s="493"/>
      <c r="H152" s="493">
        <f>+H60-H126</f>
        <v>0</v>
      </c>
    </row>
    <row r="153" spans="1:8" ht="31.5" thickBot="1">
      <c r="A153" s="463" t="s">
        <v>7</v>
      </c>
      <c r="B153" s="520" t="s">
        <v>427</v>
      </c>
      <c r="C153" s="493">
        <f>+C84-C147</f>
        <v>534405275</v>
      </c>
      <c r="D153" s="493">
        <f>+D84-D147</f>
        <v>707578742</v>
      </c>
      <c r="E153" s="493">
        <f>+E84-E147</f>
        <v>739046779</v>
      </c>
      <c r="F153" s="493"/>
      <c r="G153" s="493"/>
      <c r="H153" s="493">
        <f>+H84-H147</f>
        <v>0</v>
      </c>
    </row>
    <row r="154" ht="7.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</sheetData>
  <sheetProtection/>
  <mergeCells count="9">
    <mergeCell ref="A1:H1"/>
    <mergeCell ref="C89:H89"/>
    <mergeCell ref="A150:E150"/>
    <mergeCell ref="A87:E87"/>
    <mergeCell ref="A89:A90"/>
    <mergeCell ref="B89:B90"/>
    <mergeCell ref="A3:A4"/>
    <mergeCell ref="B3:B4"/>
    <mergeCell ref="C3:H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8" scale="47" r:id="rId1"/>
  <headerFooter alignWithMargins="0">
    <oddHeader>&amp;C&amp;"Times New Roman CE,Félkövér"&amp;12
Nagykáta Város Önkormányzata
2019. ÉVI ZÁRSZÁMADÁSÁNAK PÉNZÜGYI MÉRLEGE&amp;10
&amp;R&amp;"Times New Roman CE,Félkövér dőlt"&amp;11 1.1. melléklet a 7/2020. (VII.1.) önkormányzati rendelethez</oddHeader>
  </headerFooter>
  <rowBreaks count="1" manualBreakCount="1">
    <brk id="86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"/>
  <sheetViews>
    <sheetView workbookViewId="0" topLeftCell="A1">
      <selection activeCell="A3" sqref="A3:B3"/>
    </sheetView>
  </sheetViews>
  <sheetFormatPr defaultColWidth="9.375" defaultRowHeight="12.75"/>
  <cols>
    <col min="1" max="1" width="6.75390625" style="4" customWidth="1"/>
    <col min="2" max="2" width="55.375" style="3" customWidth="1"/>
    <col min="3" max="3" width="15.125" style="3" customWidth="1"/>
    <col min="4" max="6" width="27.625" style="3" customWidth="1"/>
    <col min="7" max="7" width="5.625" style="3" customWidth="1"/>
    <col min="8" max="16384" width="9.375" style="3" customWidth="1"/>
  </cols>
  <sheetData>
    <row r="1" spans="1:7" s="15" customFormat="1" ht="23.25" customHeight="1">
      <c r="A1" s="4"/>
      <c r="B1" s="3"/>
      <c r="C1" s="3"/>
      <c r="D1" s="3"/>
      <c r="E1" s="3"/>
      <c r="F1" s="3"/>
      <c r="G1" s="965" t="str">
        <f>+CONCATENATE("3. tájékoztató tábla a 7/",LEFT(ÖSSZEFÜGGÉSEK!A4,4)+1,". (VII.1.) önkormányzati rendelethez")</f>
        <v>3. tájékoztató tábla a 7/2020. (VII.1.) önkormányzati rendelethez</v>
      </c>
    </row>
    <row r="2" spans="1:7" s="109" customFormat="1" ht="26.25" customHeight="1">
      <c r="A2" s="963" t="s">
        <v>829</v>
      </c>
      <c r="B2" s="963"/>
      <c r="C2" s="536" t="s">
        <v>830</v>
      </c>
      <c r="D2" s="536" t="s">
        <v>172</v>
      </c>
      <c r="E2" s="536" t="s">
        <v>176</v>
      </c>
      <c r="F2" s="536" t="s">
        <v>177</v>
      </c>
      <c r="G2" s="965"/>
    </row>
    <row r="3" spans="1:7" s="113" customFormat="1" ht="76.5" customHeight="1">
      <c r="A3" s="964" t="s">
        <v>831</v>
      </c>
      <c r="B3" s="964"/>
      <c r="C3" s="536" t="s">
        <v>832</v>
      </c>
      <c r="D3" s="537"/>
      <c r="E3" s="537">
        <v>3920000</v>
      </c>
      <c r="F3" s="537">
        <v>3920000</v>
      </c>
      <c r="G3" s="965"/>
    </row>
    <row r="4" spans="1:7" s="142" customFormat="1" ht="57" customHeight="1">
      <c r="A4" s="430"/>
      <c r="B4" s="538" t="s">
        <v>833</v>
      </c>
      <c r="C4" s="430"/>
      <c r="D4" s="539"/>
      <c r="E4" s="539">
        <v>3920000</v>
      </c>
      <c r="F4" s="539">
        <v>3920000</v>
      </c>
      <c r="G4" s="965"/>
    </row>
    <row r="5" spans="1:7" ht="51" customHeight="1">
      <c r="A5" s="963" t="s">
        <v>834</v>
      </c>
      <c r="B5" s="963"/>
      <c r="C5" s="963"/>
      <c r="D5" s="537">
        <f>D3</f>
        <v>0</v>
      </c>
      <c r="E5" s="537">
        <f>E3</f>
        <v>3920000</v>
      </c>
      <c r="F5" s="537">
        <f>F3</f>
        <v>3920000</v>
      </c>
      <c r="G5" s="965"/>
    </row>
    <row r="6" ht="22.5" customHeight="1">
      <c r="G6" s="540"/>
    </row>
    <row r="7" ht="22.5" customHeight="1">
      <c r="G7" s="540"/>
    </row>
    <row r="8" ht="22.5" customHeight="1">
      <c r="G8" s="540"/>
    </row>
    <row r="9" ht="22.5" customHeight="1">
      <c r="G9" s="540"/>
    </row>
    <row r="10" ht="30" customHeight="1">
      <c r="G10" s="540"/>
    </row>
    <row r="11" ht="29.25" customHeight="1">
      <c r="G11" s="540"/>
    </row>
    <row r="12" ht="22.5" customHeight="1">
      <c r="G12" s="540"/>
    </row>
    <row r="13" ht="22.5" customHeight="1">
      <c r="G13" s="540"/>
    </row>
    <row r="14" ht="22.5" customHeight="1">
      <c r="G14" s="540"/>
    </row>
    <row r="15" ht="22.5" customHeight="1">
      <c r="G15" s="540"/>
    </row>
    <row r="16" ht="22.5" customHeight="1">
      <c r="G16" s="540"/>
    </row>
    <row r="17" ht="19.5" customHeight="1"/>
  </sheetData>
  <sheetProtection/>
  <mergeCells count="4">
    <mergeCell ref="A2:B2"/>
    <mergeCell ref="A3:B3"/>
    <mergeCell ref="A5:C5"/>
    <mergeCell ref="G1:G5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86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J19"/>
  <sheetViews>
    <sheetView workbookViewId="0" topLeftCell="A1">
      <selection activeCell="J1" sqref="J1:J19"/>
    </sheetView>
  </sheetViews>
  <sheetFormatPr defaultColWidth="9.375" defaultRowHeight="12.75"/>
  <cols>
    <col min="1" max="1" width="5.50390625" style="7" customWidth="1"/>
    <col min="2" max="2" width="36.75390625" style="7" customWidth="1"/>
    <col min="3" max="8" width="13.75390625" style="7" customWidth="1"/>
    <col min="9" max="9" width="15.125" style="7" customWidth="1"/>
    <col min="10" max="10" width="5.00390625" style="7" customWidth="1"/>
    <col min="11" max="16384" width="9.375" style="7" customWidth="1"/>
  </cols>
  <sheetData>
    <row r="1" spans="1:10" ht="34.5" customHeight="1">
      <c r="A1" s="980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2019. december 31-én</v>
      </c>
      <c r="B1" s="981"/>
      <c r="C1" s="981"/>
      <c r="D1" s="981"/>
      <c r="E1" s="981"/>
      <c r="F1" s="981"/>
      <c r="G1" s="981"/>
      <c r="H1" s="981"/>
      <c r="I1" s="981"/>
      <c r="J1" s="965" t="str">
        <f>+CONCATENATE("4. tájékoztató tábla a 7/",LEFT(ÖSSZEFÜGGÉSEK!A4,4)+1,". (VII.1.) önkormányzati rendelethez")</f>
        <v>4. tájékoztató tábla a 7/2020. (VII.1.) önkormányzati rendelethez</v>
      </c>
    </row>
    <row r="2" spans="8:10" ht="14.25" thickBot="1">
      <c r="H2" s="982" t="s">
        <v>835</v>
      </c>
      <c r="I2" s="982"/>
      <c r="J2" s="965"/>
    </row>
    <row r="3" spans="1:10" ht="13.5" thickBot="1">
      <c r="A3" s="983" t="s">
        <v>4</v>
      </c>
      <c r="B3" s="985" t="s">
        <v>193</v>
      </c>
      <c r="C3" s="987" t="s">
        <v>194</v>
      </c>
      <c r="D3" s="966" t="s">
        <v>195</v>
      </c>
      <c r="E3" s="967"/>
      <c r="F3" s="967"/>
      <c r="G3" s="967"/>
      <c r="H3" s="967"/>
      <c r="I3" s="968" t="s">
        <v>196</v>
      </c>
      <c r="J3" s="965"/>
    </row>
    <row r="4" spans="1:10" s="16" customFormat="1" ht="42" customHeight="1" thickBot="1">
      <c r="A4" s="984"/>
      <c r="B4" s="986"/>
      <c r="C4" s="988"/>
      <c r="D4" s="143" t="s">
        <v>197</v>
      </c>
      <c r="E4" s="143" t="s">
        <v>198</v>
      </c>
      <c r="F4" s="143" t="s">
        <v>199</v>
      </c>
      <c r="G4" s="144" t="s">
        <v>200</v>
      </c>
      <c r="H4" s="144" t="s">
        <v>201</v>
      </c>
      <c r="I4" s="969"/>
      <c r="J4" s="965"/>
    </row>
    <row r="5" spans="1:10" s="16" customFormat="1" ht="12" customHeight="1" thickBot="1">
      <c r="A5" s="381" t="s">
        <v>372</v>
      </c>
      <c r="B5" s="145" t="s">
        <v>373</v>
      </c>
      <c r="C5" s="145" t="s">
        <v>374</v>
      </c>
      <c r="D5" s="145" t="s">
        <v>375</v>
      </c>
      <c r="E5" s="145" t="s">
        <v>376</v>
      </c>
      <c r="F5" s="145" t="s">
        <v>451</v>
      </c>
      <c r="G5" s="145" t="s">
        <v>452</v>
      </c>
      <c r="H5" s="145" t="s">
        <v>530</v>
      </c>
      <c r="I5" s="146" t="s">
        <v>531</v>
      </c>
      <c r="J5" s="965"/>
    </row>
    <row r="6" spans="1:10" s="16" customFormat="1" ht="18" customHeight="1">
      <c r="A6" s="970" t="s">
        <v>202</v>
      </c>
      <c r="B6" s="971"/>
      <c r="C6" s="971"/>
      <c r="D6" s="971"/>
      <c r="E6" s="971"/>
      <c r="F6" s="971"/>
      <c r="G6" s="971"/>
      <c r="H6" s="971"/>
      <c r="I6" s="972"/>
      <c r="J6" s="965"/>
    </row>
    <row r="7" spans="1:10" ht="15.75" customHeight="1">
      <c r="A7" s="28" t="s">
        <v>6</v>
      </c>
      <c r="B7" s="26" t="s">
        <v>203</v>
      </c>
      <c r="C7" s="19"/>
      <c r="D7" s="19"/>
      <c r="E7" s="19"/>
      <c r="F7" s="19"/>
      <c r="G7" s="147"/>
      <c r="H7" s="148">
        <f aca="true" t="shared" si="0" ref="H7:H13">SUM(D7:G7)</f>
        <v>0</v>
      </c>
      <c r="I7" s="29">
        <f aca="true" t="shared" si="1" ref="I7:I13">C7+H7</f>
        <v>0</v>
      </c>
      <c r="J7" s="965"/>
    </row>
    <row r="8" spans="1:10" ht="12.75">
      <c r="A8" s="28" t="s">
        <v>7</v>
      </c>
      <c r="B8" s="26" t="s">
        <v>144</v>
      </c>
      <c r="C8" s="19">
        <v>31546970</v>
      </c>
      <c r="D8" s="19"/>
      <c r="E8" s="19"/>
      <c r="F8" s="19"/>
      <c r="G8" s="147"/>
      <c r="H8" s="148">
        <f t="shared" si="0"/>
        <v>0</v>
      </c>
      <c r="I8" s="29">
        <f t="shared" si="1"/>
        <v>31546970</v>
      </c>
      <c r="J8" s="965"/>
    </row>
    <row r="9" spans="1:10" ht="12.75">
      <c r="A9" s="28" t="s">
        <v>8</v>
      </c>
      <c r="B9" s="26" t="s">
        <v>145</v>
      </c>
      <c r="C9" s="19"/>
      <c r="D9" s="19"/>
      <c r="E9" s="19"/>
      <c r="F9" s="19"/>
      <c r="G9" s="147"/>
      <c r="H9" s="148">
        <f t="shared" si="0"/>
        <v>0</v>
      </c>
      <c r="I9" s="29">
        <f t="shared" si="1"/>
        <v>0</v>
      </c>
      <c r="J9" s="965"/>
    </row>
    <row r="10" spans="1:10" ht="15.75" customHeight="1">
      <c r="A10" s="28" t="s">
        <v>9</v>
      </c>
      <c r="B10" s="26" t="s">
        <v>146</v>
      </c>
      <c r="C10" s="19"/>
      <c r="D10" s="19"/>
      <c r="E10" s="19"/>
      <c r="F10" s="19"/>
      <c r="G10" s="147"/>
      <c r="H10" s="148">
        <f t="shared" si="0"/>
        <v>0</v>
      </c>
      <c r="I10" s="29">
        <f t="shared" si="1"/>
        <v>0</v>
      </c>
      <c r="J10" s="965"/>
    </row>
    <row r="11" spans="1:10" ht="12.75">
      <c r="A11" s="28" t="s">
        <v>10</v>
      </c>
      <c r="B11" s="26" t="s">
        <v>147</v>
      </c>
      <c r="C11" s="19"/>
      <c r="D11" s="19"/>
      <c r="E11" s="19"/>
      <c r="F11" s="19"/>
      <c r="G11" s="147"/>
      <c r="H11" s="148">
        <f t="shared" si="0"/>
        <v>0</v>
      </c>
      <c r="I11" s="29">
        <f t="shared" si="1"/>
        <v>0</v>
      </c>
      <c r="J11" s="965"/>
    </row>
    <row r="12" spans="1:10" ht="15.75" customHeight="1">
      <c r="A12" s="30" t="s">
        <v>11</v>
      </c>
      <c r="B12" s="31" t="s">
        <v>204</v>
      </c>
      <c r="C12" s="20">
        <v>105031769</v>
      </c>
      <c r="D12" s="20"/>
      <c r="E12" s="20"/>
      <c r="F12" s="20"/>
      <c r="G12" s="149"/>
      <c r="H12" s="148">
        <f t="shared" si="0"/>
        <v>0</v>
      </c>
      <c r="I12" s="29">
        <f t="shared" si="1"/>
        <v>105031769</v>
      </c>
      <c r="J12" s="965"/>
    </row>
    <row r="13" spans="1:10" ht="15.75" customHeight="1" thickBot="1">
      <c r="A13" s="150" t="s">
        <v>12</v>
      </c>
      <c r="B13" s="151" t="s">
        <v>205</v>
      </c>
      <c r="C13" s="152">
        <v>23911048</v>
      </c>
      <c r="D13" s="152"/>
      <c r="E13" s="152"/>
      <c r="F13" s="152"/>
      <c r="G13" s="153"/>
      <c r="H13" s="148">
        <f t="shared" si="0"/>
        <v>0</v>
      </c>
      <c r="I13" s="29">
        <f t="shared" si="1"/>
        <v>23911048</v>
      </c>
      <c r="J13" s="965"/>
    </row>
    <row r="14" spans="1:10" s="21" customFormat="1" ht="18" customHeight="1" thickBot="1">
      <c r="A14" s="973" t="s">
        <v>206</v>
      </c>
      <c r="B14" s="974"/>
      <c r="C14" s="32">
        <f aca="true" t="shared" si="2" ref="C14:I14">SUM(C7:C13)</f>
        <v>160489787</v>
      </c>
      <c r="D14" s="32">
        <f>SUM(D7:D13)</f>
        <v>0</v>
      </c>
      <c r="E14" s="32">
        <f t="shared" si="2"/>
        <v>0</v>
      </c>
      <c r="F14" s="32">
        <f t="shared" si="2"/>
        <v>0</v>
      </c>
      <c r="G14" s="154">
        <f t="shared" si="2"/>
        <v>0</v>
      </c>
      <c r="H14" s="154">
        <f t="shared" si="2"/>
        <v>0</v>
      </c>
      <c r="I14" s="33">
        <f t="shared" si="2"/>
        <v>160489787</v>
      </c>
      <c r="J14" s="965"/>
    </row>
    <row r="15" spans="1:10" s="18" customFormat="1" ht="18" customHeight="1">
      <c r="A15" s="975" t="s">
        <v>207</v>
      </c>
      <c r="B15" s="976"/>
      <c r="C15" s="976"/>
      <c r="D15" s="976"/>
      <c r="E15" s="976"/>
      <c r="F15" s="976"/>
      <c r="G15" s="976"/>
      <c r="H15" s="976"/>
      <c r="I15" s="977"/>
      <c r="J15" s="965"/>
    </row>
    <row r="16" spans="1:10" s="18" customFormat="1" ht="12.75">
      <c r="A16" s="28" t="s">
        <v>6</v>
      </c>
      <c r="B16" s="26" t="s">
        <v>208</v>
      </c>
      <c r="C16" s="19"/>
      <c r="D16" s="19"/>
      <c r="E16" s="19"/>
      <c r="F16" s="19"/>
      <c r="G16" s="147"/>
      <c r="H16" s="148">
        <f>SUM(D16:G16)</f>
        <v>0</v>
      </c>
      <c r="I16" s="29">
        <f>C16+H16</f>
        <v>0</v>
      </c>
      <c r="J16" s="965"/>
    </row>
    <row r="17" spans="1:10" ht="13.5" thickBot="1">
      <c r="A17" s="150" t="s">
        <v>7</v>
      </c>
      <c r="B17" s="151" t="s">
        <v>205</v>
      </c>
      <c r="C17" s="152"/>
      <c r="D17" s="152"/>
      <c r="E17" s="152"/>
      <c r="F17" s="152"/>
      <c r="G17" s="153"/>
      <c r="H17" s="148">
        <f>SUM(D17:G17)</f>
        <v>0</v>
      </c>
      <c r="I17" s="155">
        <f>C17+H17</f>
        <v>0</v>
      </c>
      <c r="J17" s="965"/>
    </row>
    <row r="18" spans="1:10" ht="15.75" customHeight="1" thickBot="1">
      <c r="A18" s="973" t="s">
        <v>209</v>
      </c>
      <c r="B18" s="974"/>
      <c r="C18" s="32">
        <f aca="true" t="shared" si="3" ref="C18:I18">SUM(C16:C17)</f>
        <v>0</v>
      </c>
      <c r="D18" s="32">
        <f t="shared" si="3"/>
        <v>0</v>
      </c>
      <c r="E18" s="32">
        <f t="shared" si="3"/>
        <v>0</v>
      </c>
      <c r="F18" s="32">
        <f t="shared" si="3"/>
        <v>0</v>
      </c>
      <c r="G18" s="154">
        <f t="shared" si="3"/>
        <v>0</v>
      </c>
      <c r="H18" s="154">
        <f t="shared" si="3"/>
        <v>0</v>
      </c>
      <c r="I18" s="33">
        <f t="shared" si="3"/>
        <v>0</v>
      </c>
      <c r="J18" s="965"/>
    </row>
    <row r="19" spans="1:10" ht="18" customHeight="1" thickBot="1">
      <c r="A19" s="978" t="s">
        <v>210</v>
      </c>
      <c r="B19" s="979"/>
      <c r="C19" s="156">
        <f aca="true" t="shared" si="4" ref="C19:I19">C14+C18</f>
        <v>160489787</v>
      </c>
      <c r="D19" s="156">
        <f t="shared" si="4"/>
        <v>0</v>
      </c>
      <c r="E19" s="156">
        <f t="shared" si="4"/>
        <v>0</v>
      </c>
      <c r="F19" s="156">
        <f t="shared" si="4"/>
        <v>0</v>
      </c>
      <c r="G19" s="156">
        <f t="shared" si="4"/>
        <v>0</v>
      </c>
      <c r="H19" s="156">
        <f t="shared" si="4"/>
        <v>0</v>
      </c>
      <c r="I19" s="33">
        <f t="shared" si="4"/>
        <v>160489787</v>
      </c>
      <c r="J19" s="965"/>
    </row>
  </sheetData>
  <sheetProtection/>
  <mergeCells count="13">
    <mergeCell ref="J1:J19"/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E11"/>
  <sheetViews>
    <sheetView workbookViewId="0" topLeftCell="A1">
      <selection activeCell="H22" sqref="H22"/>
    </sheetView>
  </sheetViews>
  <sheetFormatPr defaultColWidth="9.375" defaultRowHeight="12.75"/>
  <cols>
    <col min="1" max="1" width="57.625" style="157" customWidth="1"/>
    <col min="2" max="2" width="26.50390625" style="1" customWidth="1"/>
    <col min="3" max="3" width="23.375" style="1" customWidth="1"/>
    <col min="4" max="4" width="22.375" style="1" customWidth="1"/>
    <col min="5" max="5" width="22.125" style="1" customWidth="1"/>
    <col min="6" max="9" width="9.375" style="1" customWidth="1"/>
    <col min="10" max="16384" width="9.375" style="1" customWidth="1"/>
  </cols>
  <sheetData>
    <row r="1" spans="1:5" ht="39" customHeight="1" thickBot="1">
      <c r="A1" s="542" t="s">
        <v>836</v>
      </c>
      <c r="B1" s="543" t="s">
        <v>837</v>
      </c>
      <c r="C1" s="556" t="s">
        <v>838</v>
      </c>
      <c r="D1" s="544" t="s">
        <v>972</v>
      </c>
      <c r="E1" s="544" t="s">
        <v>973</v>
      </c>
    </row>
    <row r="2" spans="1:5" ht="45.75" customHeight="1">
      <c r="A2" s="545" t="s">
        <v>839</v>
      </c>
      <c r="B2" s="546" t="s">
        <v>693</v>
      </c>
      <c r="C2" s="546" t="s">
        <v>693</v>
      </c>
      <c r="D2" s="547" t="s">
        <v>693</v>
      </c>
      <c r="E2" s="547" t="s">
        <v>693</v>
      </c>
    </row>
    <row r="3" spans="1:5" ht="45.75" customHeight="1">
      <c r="A3" s="548" t="s">
        <v>840</v>
      </c>
      <c r="B3" s="549" t="s">
        <v>693</v>
      </c>
      <c r="C3" s="549" t="s">
        <v>693</v>
      </c>
      <c r="D3" s="550" t="s">
        <v>693</v>
      </c>
      <c r="E3" s="550" t="s">
        <v>693</v>
      </c>
    </row>
    <row r="4" spans="1:5" ht="52.5" customHeight="1">
      <c r="A4" s="551" t="s">
        <v>841</v>
      </c>
      <c r="B4" s="549" t="s">
        <v>693</v>
      </c>
      <c r="C4" s="549" t="s">
        <v>693</v>
      </c>
      <c r="D4" s="550" t="s">
        <v>693</v>
      </c>
      <c r="E4" s="550" t="s">
        <v>693</v>
      </c>
    </row>
    <row r="5" spans="1:5" ht="44.25" customHeight="1">
      <c r="A5" s="557" t="s">
        <v>842</v>
      </c>
      <c r="B5" s="549">
        <v>851</v>
      </c>
      <c r="C5" s="558" t="s">
        <v>1046</v>
      </c>
      <c r="D5" s="541">
        <v>10305000</v>
      </c>
      <c r="E5" s="541">
        <v>10531600</v>
      </c>
    </row>
    <row r="6" spans="1:5" ht="36" customHeight="1">
      <c r="A6" s="557" t="s">
        <v>843</v>
      </c>
      <c r="B6" s="549"/>
      <c r="C6" s="558"/>
      <c r="D6" s="541"/>
      <c r="E6" s="541">
        <v>0</v>
      </c>
    </row>
    <row r="7" spans="1:5" ht="24.75" customHeight="1">
      <c r="A7" s="557" t="s">
        <v>844</v>
      </c>
      <c r="B7" s="549">
        <v>24</v>
      </c>
      <c r="C7" s="558" t="s">
        <v>1046</v>
      </c>
      <c r="D7" s="541">
        <v>874368</v>
      </c>
      <c r="E7" s="541">
        <v>1015956</v>
      </c>
    </row>
    <row r="8" spans="1:5" ht="24.75" customHeight="1">
      <c r="A8" s="557" t="s">
        <v>845</v>
      </c>
      <c r="B8" s="549">
        <v>92</v>
      </c>
      <c r="C8" s="558" t="s">
        <v>1046</v>
      </c>
      <c r="D8" s="541">
        <v>3259375</v>
      </c>
      <c r="E8" s="541">
        <v>4142739</v>
      </c>
    </row>
    <row r="9" spans="1:5" ht="24.75" customHeight="1">
      <c r="A9" s="551" t="s">
        <v>846</v>
      </c>
      <c r="B9" s="549"/>
      <c r="C9" s="549"/>
      <c r="D9" s="550"/>
      <c r="E9" s="550"/>
    </row>
    <row r="10" spans="1:5" ht="44.25" customHeight="1">
      <c r="A10" s="552" t="s">
        <v>847</v>
      </c>
      <c r="B10" s="549" t="s">
        <v>693</v>
      </c>
      <c r="C10" s="549" t="s">
        <v>693</v>
      </c>
      <c r="D10" s="550" t="s">
        <v>693</v>
      </c>
      <c r="E10" s="550"/>
    </row>
    <row r="11" spans="1:5" ht="24.75" customHeight="1" thickBot="1">
      <c r="A11" s="553" t="s">
        <v>848</v>
      </c>
      <c r="B11" s="554" t="s">
        <v>693</v>
      </c>
      <c r="C11" s="554" t="s">
        <v>693</v>
      </c>
      <c r="D11" s="555" t="s">
        <v>693</v>
      </c>
      <c r="E11" s="555" t="s">
        <v>693</v>
      </c>
    </row>
  </sheetData>
  <sheetProtection/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landscape" paperSize="9" scale="8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7/2020. (VII.1.)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3:D26"/>
  <sheetViews>
    <sheetView workbookViewId="0" topLeftCell="A1">
      <selection activeCell="F13" sqref="F13"/>
    </sheetView>
  </sheetViews>
  <sheetFormatPr defaultColWidth="9.375" defaultRowHeight="12.75"/>
  <cols>
    <col min="1" max="1" width="9.625" style="7" bestFit="1" customWidth="1"/>
    <col min="2" max="2" width="57.75390625" style="7" customWidth="1"/>
    <col min="3" max="3" width="42.375" style="7" customWidth="1"/>
    <col min="4" max="4" width="22.625" style="7" customWidth="1"/>
    <col min="5" max="16384" width="9.375" style="7" customWidth="1"/>
  </cols>
  <sheetData>
    <row r="2" ht="15.75" customHeight="1"/>
    <row r="3" spans="1:4" ht="15.75" customHeight="1">
      <c r="A3" s="811" t="s">
        <v>214</v>
      </c>
      <c r="B3" s="811" t="s">
        <v>94</v>
      </c>
      <c r="C3" s="811" t="s">
        <v>940</v>
      </c>
      <c r="D3" s="811" t="s">
        <v>928</v>
      </c>
    </row>
    <row r="4" spans="1:4" ht="34.5" customHeight="1">
      <c r="A4" s="816" t="s">
        <v>6</v>
      </c>
      <c r="B4" s="812" t="s">
        <v>941</v>
      </c>
      <c r="C4" s="812" t="s">
        <v>942</v>
      </c>
      <c r="D4" s="813">
        <v>100000</v>
      </c>
    </row>
    <row r="5" spans="1:4" ht="15.75" customHeight="1">
      <c r="A5" s="816" t="s">
        <v>7</v>
      </c>
      <c r="B5" s="812" t="s">
        <v>943</v>
      </c>
      <c r="C5" s="812" t="s">
        <v>944</v>
      </c>
      <c r="D5" s="813">
        <v>4500000</v>
      </c>
    </row>
    <row r="6" spans="1:4" ht="15.75" customHeight="1">
      <c r="A6" s="816" t="s">
        <v>8</v>
      </c>
      <c r="B6" s="812" t="s">
        <v>857</v>
      </c>
      <c r="C6" s="812" t="s">
        <v>945</v>
      </c>
      <c r="D6" s="813">
        <v>2100000</v>
      </c>
    </row>
    <row r="7" spans="1:4" ht="15.75" customHeight="1">
      <c r="A7" s="816" t="s">
        <v>9</v>
      </c>
      <c r="B7" s="812" t="s">
        <v>946</v>
      </c>
      <c r="C7" s="812" t="s">
        <v>947</v>
      </c>
      <c r="D7" s="813">
        <v>50000</v>
      </c>
    </row>
    <row r="8" spans="1:4" ht="15">
      <c r="A8" s="816" t="s">
        <v>10</v>
      </c>
      <c r="B8" s="812" t="s">
        <v>948</v>
      </c>
      <c r="C8" s="812" t="s">
        <v>949</v>
      </c>
      <c r="D8" s="813">
        <v>400000</v>
      </c>
    </row>
    <row r="9" spans="1:4" ht="46.5">
      <c r="A9" s="816" t="s">
        <v>11</v>
      </c>
      <c r="B9" s="812" t="s">
        <v>950</v>
      </c>
      <c r="C9" s="812" t="s">
        <v>951</v>
      </c>
      <c r="D9" s="813">
        <v>500000</v>
      </c>
    </row>
    <row r="10" spans="1:4" ht="30.75">
      <c r="A10" s="816" t="s">
        <v>12</v>
      </c>
      <c r="B10" s="812" t="s">
        <v>952</v>
      </c>
      <c r="C10" s="812" t="s">
        <v>953</v>
      </c>
      <c r="D10" s="813">
        <v>2000000</v>
      </c>
    </row>
    <row r="11" spans="1:4" ht="30.75">
      <c r="A11" s="816" t="s">
        <v>13</v>
      </c>
      <c r="B11" s="812" t="s">
        <v>952</v>
      </c>
      <c r="C11" s="812" t="s">
        <v>954</v>
      </c>
      <c r="D11" s="813">
        <v>300000</v>
      </c>
    </row>
    <row r="12" spans="1:4" ht="30.75">
      <c r="A12" s="816" t="s">
        <v>14</v>
      </c>
      <c r="B12" s="812" t="s">
        <v>952</v>
      </c>
      <c r="C12" s="812" t="s">
        <v>955</v>
      </c>
      <c r="D12" s="813">
        <v>3800000</v>
      </c>
    </row>
    <row r="13" spans="1:4" ht="30.75">
      <c r="A13" s="816" t="s">
        <v>15</v>
      </c>
      <c r="B13" s="812" t="s">
        <v>952</v>
      </c>
      <c r="C13" s="812" t="s">
        <v>956</v>
      </c>
      <c r="D13" s="813">
        <v>100000</v>
      </c>
    </row>
    <row r="14" spans="1:4" ht="15">
      <c r="A14" s="816" t="s">
        <v>16</v>
      </c>
      <c r="B14" s="812" t="s">
        <v>952</v>
      </c>
      <c r="C14" s="812" t="s">
        <v>957</v>
      </c>
      <c r="D14" s="813">
        <v>150000</v>
      </c>
    </row>
    <row r="15" spans="1:4" ht="15">
      <c r="A15" s="816" t="s">
        <v>17</v>
      </c>
      <c r="B15" s="812" t="s">
        <v>850</v>
      </c>
      <c r="C15" s="812" t="s">
        <v>958</v>
      </c>
      <c r="D15" s="813">
        <v>550000</v>
      </c>
    </row>
    <row r="16" spans="1:4" ht="30.75">
      <c r="A16" s="816" t="s">
        <v>18</v>
      </c>
      <c r="B16" s="812" t="s">
        <v>851</v>
      </c>
      <c r="C16" s="812" t="s">
        <v>959</v>
      </c>
      <c r="D16" s="813">
        <v>200000</v>
      </c>
    </row>
    <row r="17" spans="1:4" ht="15">
      <c r="A17" s="816" t="s">
        <v>19</v>
      </c>
      <c r="B17" s="812" t="s">
        <v>853</v>
      </c>
      <c r="C17" s="812" t="s">
        <v>960</v>
      </c>
      <c r="D17" s="813">
        <v>120500</v>
      </c>
    </row>
    <row r="18" spans="1:4" ht="15">
      <c r="A18" s="816" t="s">
        <v>20</v>
      </c>
      <c r="B18" s="812" t="s">
        <v>961</v>
      </c>
      <c r="C18" s="812" t="s">
        <v>962</v>
      </c>
      <c r="D18" s="813">
        <v>100000</v>
      </c>
    </row>
    <row r="19" spans="1:4" ht="30.75">
      <c r="A19" s="816" t="s">
        <v>21</v>
      </c>
      <c r="B19" s="812" t="s">
        <v>963</v>
      </c>
      <c r="C19" s="812" t="s">
        <v>964</v>
      </c>
      <c r="D19" s="813">
        <v>1062000</v>
      </c>
    </row>
    <row r="20" spans="1:4" ht="46.5">
      <c r="A20" s="816" t="s">
        <v>22</v>
      </c>
      <c r="B20" s="812" t="s">
        <v>849</v>
      </c>
      <c r="C20" s="812" t="s">
        <v>965</v>
      </c>
      <c r="D20" s="813">
        <v>100000</v>
      </c>
    </row>
    <row r="21" spans="1:4" ht="30.75">
      <c r="A21" s="816" t="s">
        <v>23</v>
      </c>
      <c r="B21" s="812" t="s">
        <v>849</v>
      </c>
      <c r="C21" s="812" t="s">
        <v>966</v>
      </c>
      <c r="D21" s="813">
        <v>80000</v>
      </c>
    </row>
    <row r="22" spans="1:4" ht="15">
      <c r="A22" s="816" t="s">
        <v>24</v>
      </c>
      <c r="B22" s="812" t="s">
        <v>967</v>
      </c>
      <c r="C22" s="812" t="s">
        <v>968</v>
      </c>
      <c r="D22" s="813">
        <v>687775</v>
      </c>
    </row>
    <row r="23" spans="1:4" ht="30.75">
      <c r="A23" s="816" t="s">
        <v>25</v>
      </c>
      <c r="B23" s="812" t="s">
        <v>852</v>
      </c>
      <c r="C23" s="812" t="s">
        <v>969</v>
      </c>
      <c r="D23" s="813">
        <v>200000</v>
      </c>
    </row>
    <row r="24" spans="1:4" ht="30.75">
      <c r="A24" s="816" t="s">
        <v>26</v>
      </c>
      <c r="B24" s="812" t="s">
        <v>852</v>
      </c>
      <c r="C24" s="812" t="s">
        <v>970</v>
      </c>
      <c r="D24" s="813">
        <v>500000</v>
      </c>
    </row>
    <row r="25" spans="1:4" ht="30.75">
      <c r="A25" s="816" t="s">
        <v>27</v>
      </c>
      <c r="B25" s="812" t="s">
        <v>852</v>
      </c>
      <c r="C25" s="812" t="s">
        <v>971</v>
      </c>
      <c r="D25" s="813">
        <v>200000</v>
      </c>
    </row>
    <row r="26" spans="1:4" ht="15">
      <c r="A26" s="989" t="s">
        <v>834</v>
      </c>
      <c r="B26" s="990"/>
      <c r="C26" s="814"/>
      <c r="D26" s="815">
        <f>SUM(D4:D25)</f>
        <v>17800275</v>
      </c>
    </row>
  </sheetData>
  <sheetProtection/>
  <mergeCells count="1">
    <mergeCell ref="A26:B2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72" r:id="rId1"/>
  <headerFooter alignWithMargins="0">
    <oddHeader>&amp;C&amp;"Times New Roman CE,Félkövér"&amp;12
K I M U T A T Á S
a 2019. évi céljelleggel juttatott támogatások felhasználásáról&amp;R&amp;"Times New Roman CE,Félkövér dőlt"&amp;11 6. tájékoztató tábla a 7/2020. (VII.1.)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R74"/>
  <sheetViews>
    <sheetView zoomScaleSheetLayoutView="120" workbookViewId="0" topLeftCell="A19">
      <selection activeCell="L72" sqref="L72"/>
    </sheetView>
  </sheetViews>
  <sheetFormatPr defaultColWidth="12.00390625" defaultRowHeight="12.75"/>
  <cols>
    <col min="1" max="1" width="67.125" style="393" customWidth="1"/>
    <col min="2" max="2" width="6.125" style="394" customWidth="1"/>
    <col min="3" max="3" width="21.625" style="393" hidden="1" customWidth="1"/>
    <col min="4" max="4" width="16.125" style="393" hidden="1" customWidth="1"/>
    <col min="5" max="5" width="14.00390625" style="393" hidden="1" customWidth="1"/>
    <col min="6" max="6" width="15.625" style="393" hidden="1" customWidth="1"/>
    <col min="7" max="7" width="14.00390625" style="393" hidden="1" customWidth="1"/>
    <col min="8" max="8" width="15.375" style="393" hidden="1" customWidth="1"/>
    <col min="9" max="9" width="16.75390625" style="393" customWidth="1"/>
    <col min="10" max="10" width="17.625" style="393" customWidth="1"/>
    <col min="11" max="11" width="16.75390625" style="393" customWidth="1"/>
    <col min="12" max="12" width="19.00390625" style="393" customWidth="1"/>
    <col min="13" max="13" width="16.50390625" style="393" customWidth="1"/>
    <col min="14" max="16" width="16.00390625" style="393" customWidth="1"/>
    <col min="17" max="17" width="16.375" style="393" customWidth="1"/>
    <col min="18" max="18" width="16.125" style="393" customWidth="1"/>
    <col min="19" max="16384" width="12.00390625" style="393" customWidth="1"/>
  </cols>
  <sheetData>
    <row r="1" spans="1:18" ht="49.5" customHeight="1">
      <c r="A1" s="1016" t="str">
        <f>+CONCATENATE("VAGYONKIMUTATÁS",CHAR(10),"a könyvviteli mérlegben értékkel szereplő eszközökről",CHAR(10),LEFT(ÖSSZEFÜGGÉSEK!A4,4),".")</f>
        <v>VAGYONKIMUTATÁS
a könyvviteli mérlegben értékkel szereplő eszközökről
2019.</v>
      </c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</row>
    <row r="2" spans="3:18" ht="15.75" thickBot="1">
      <c r="C2" s="999"/>
      <c r="D2" s="999"/>
      <c r="E2" s="999"/>
      <c r="F2" s="999"/>
      <c r="G2" s="999"/>
      <c r="H2" s="999"/>
      <c r="I2" s="999"/>
      <c r="J2" s="999"/>
      <c r="K2" s="999"/>
      <c r="L2" s="999"/>
      <c r="M2" s="999"/>
      <c r="N2" s="999"/>
      <c r="O2" s="721"/>
      <c r="P2" s="721"/>
      <c r="Q2" s="999" t="s">
        <v>683</v>
      </c>
      <c r="R2" s="999"/>
    </row>
    <row r="3" spans="1:18" s="566" customFormat="1" ht="39" customHeight="1" thickBot="1">
      <c r="A3" s="1017" t="s">
        <v>213</v>
      </c>
      <c r="B3" s="613"/>
      <c r="C3" s="1004" t="s">
        <v>677</v>
      </c>
      <c r="D3" s="1005"/>
      <c r="E3" s="1004" t="s">
        <v>666</v>
      </c>
      <c r="F3" s="1005"/>
      <c r="G3" s="1004" t="s">
        <v>865</v>
      </c>
      <c r="H3" s="1005"/>
      <c r="I3" s="1004" t="s">
        <v>866</v>
      </c>
      <c r="J3" s="1005"/>
      <c r="K3" s="1004" t="s">
        <v>823</v>
      </c>
      <c r="L3" s="1005"/>
      <c r="M3" s="1004" t="s">
        <v>867</v>
      </c>
      <c r="N3" s="1020"/>
      <c r="O3" s="991" t="s">
        <v>909</v>
      </c>
      <c r="P3" s="992"/>
      <c r="Q3" s="1021" t="s">
        <v>822</v>
      </c>
      <c r="R3" s="1022"/>
    </row>
    <row r="4" spans="1:18" ht="15.75" customHeight="1">
      <c r="A4" s="1018"/>
      <c r="B4" s="1000" t="s">
        <v>214</v>
      </c>
      <c r="C4" s="1002" t="s">
        <v>215</v>
      </c>
      <c r="D4" s="1003" t="s">
        <v>216</v>
      </c>
      <c r="E4" s="1002" t="s">
        <v>215</v>
      </c>
      <c r="F4" s="1003" t="s">
        <v>216</v>
      </c>
      <c r="G4" s="1002" t="s">
        <v>215</v>
      </c>
      <c r="H4" s="1003" t="s">
        <v>216</v>
      </c>
      <c r="I4" s="1002" t="s">
        <v>215</v>
      </c>
      <c r="J4" s="1003" t="s">
        <v>216</v>
      </c>
      <c r="K4" s="1002" t="s">
        <v>215</v>
      </c>
      <c r="L4" s="1003" t="s">
        <v>216</v>
      </c>
      <c r="M4" s="1002" t="s">
        <v>215</v>
      </c>
      <c r="N4" s="1007" t="s">
        <v>216</v>
      </c>
      <c r="O4" s="993" t="s">
        <v>215</v>
      </c>
      <c r="P4" s="995" t="s">
        <v>216</v>
      </c>
      <c r="Q4" s="1009" t="s">
        <v>215</v>
      </c>
      <c r="R4" s="1011" t="s">
        <v>216</v>
      </c>
    </row>
    <row r="5" spans="1:18" ht="11.25" customHeight="1" thickBot="1">
      <c r="A5" s="1018"/>
      <c r="B5" s="1000"/>
      <c r="C5" s="994"/>
      <c r="D5" s="996"/>
      <c r="E5" s="994"/>
      <c r="F5" s="996"/>
      <c r="G5" s="994"/>
      <c r="H5" s="996"/>
      <c r="I5" s="994"/>
      <c r="J5" s="996"/>
      <c r="K5" s="994"/>
      <c r="L5" s="996"/>
      <c r="M5" s="994"/>
      <c r="N5" s="1008"/>
      <c r="O5" s="994"/>
      <c r="P5" s="996"/>
      <c r="Q5" s="1010"/>
      <c r="R5" s="1012"/>
    </row>
    <row r="6" spans="1:18" ht="15">
      <c r="A6" s="1019"/>
      <c r="B6" s="1001"/>
      <c r="C6" s="997" t="s">
        <v>217</v>
      </c>
      <c r="D6" s="998"/>
      <c r="E6" s="997" t="s">
        <v>217</v>
      </c>
      <c r="F6" s="998"/>
      <c r="G6" s="997" t="s">
        <v>217</v>
      </c>
      <c r="H6" s="998"/>
      <c r="I6" s="997" t="s">
        <v>217</v>
      </c>
      <c r="J6" s="998"/>
      <c r="K6" s="997" t="s">
        <v>217</v>
      </c>
      <c r="L6" s="998"/>
      <c r="M6" s="997" t="s">
        <v>217</v>
      </c>
      <c r="N6" s="1013"/>
      <c r="O6" s="997" t="s">
        <v>217</v>
      </c>
      <c r="P6" s="998"/>
      <c r="Q6" s="1014" t="s">
        <v>217</v>
      </c>
      <c r="R6" s="1015"/>
    </row>
    <row r="7" spans="1:18" s="397" customFormat="1" ht="15.75" thickBot="1">
      <c r="A7" s="395" t="s">
        <v>594</v>
      </c>
      <c r="B7" s="614" t="s">
        <v>373</v>
      </c>
      <c r="C7" s="395" t="s">
        <v>374</v>
      </c>
      <c r="D7" s="396" t="s">
        <v>375</v>
      </c>
      <c r="E7" s="395" t="s">
        <v>374</v>
      </c>
      <c r="F7" s="396" t="s">
        <v>375</v>
      </c>
      <c r="G7" s="395" t="s">
        <v>374</v>
      </c>
      <c r="H7" s="396" t="s">
        <v>375</v>
      </c>
      <c r="I7" s="395" t="s">
        <v>374</v>
      </c>
      <c r="J7" s="396" t="s">
        <v>375</v>
      </c>
      <c r="K7" s="395" t="s">
        <v>374</v>
      </c>
      <c r="L7" s="396" t="s">
        <v>375</v>
      </c>
      <c r="M7" s="395" t="s">
        <v>374</v>
      </c>
      <c r="N7" s="614" t="s">
        <v>375</v>
      </c>
      <c r="O7" s="395" t="s">
        <v>374</v>
      </c>
      <c r="P7" s="396" t="s">
        <v>375</v>
      </c>
      <c r="Q7" s="755" t="s">
        <v>374</v>
      </c>
      <c r="R7" s="601" t="s">
        <v>375</v>
      </c>
    </row>
    <row r="8" spans="1:18" s="399" customFormat="1" ht="15">
      <c r="A8" s="398" t="s">
        <v>532</v>
      </c>
      <c r="B8" s="615" t="s">
        <v>218</v>
      </c>
      <c r="C8" s="620">
        <v>4596122</v>
      </c>
      <c r="D8" s="603">
        <v>3901966</v>
      </c>
      <c r="E8" s="620">
        <v>20570565</v>
      </c>
      <c r="F8" s="603">
        <v>3574961</v>
      </c>
      <c r="G8" s="620">
        <v>97820</v>
      </c>
      <c r="H8" s="603">
        <v>69639</v>
      </c>
      <c r="I8" s="620">
        <v>849123</v>
      </c>
      <c r="J8" s="603">
        <v>0</v>
      </c>
      <c r="K8" s="620">
        <v>6580705</v>
      </c>
      <c r="L8" s="603">
        <v>0</v>
      </c>
      <c r="M8" s="620">
        <v>450000</v>
      </c>
      <c r="N8" s="739">
        <v>0</v>
      </c>
      <c r="O8" s="749"/>
      <c r="P8" s="750"/>
      <c r="Q8" s="753">
        <f>C8+E8+G8+I8+K8+M8+O8</f>
        <v>33144335</v>
      </c>
      <c r="R8" s="754">
        <f>D8+F8+H8+J8+L8+N8+P8</f>
        <v>7546566</v>
      </c>
    </row>
    <row r="9" spans="1:18" s="399" customFormat="1" ht="15">
      <c r="A9" s="400" t="s">
        <v>533</v>
      </c>
      <c r="B9" s="616" t="s">
        <v>219</v>
      </c>
      <c r="C9" s="621">
        <f>+C10+C15+C20+C25+C30</f>
        <v>15096884436</v>
      </c>
      <c r="D9" s="604">
        <f>+D10+D15+D20+D25+D30</f>
        <v>12279754167</v>
      </c>
      <c r="E9" s="621">
        <f aca="true" t="shared" si="0" ref="E9:N9">+E10+E15+E20+E25+E30</f>
        <v>113869438</v>
      </c>
      <c r="F9" s="604">
        <f t="shared" si="0"/>
        <v>24439481</v>
      </c>
      <c r="G9" s="621">
        <f t="shared" si="0"/>
        <v>21132285</v>
      </c>
      <c r="H9" s="604">
        <f t="shared" si="0"/>
        <v>7591628</v>
      </c>
      <c r="I9" s="621">
        <f t="shared" si="0"/>
        <v>168161980</v>
      </c>
      <c r="J9" s="604">
        <f t="shared" si="0"/>
        <v>22973489</v>
      </c>
      <c r="K9" s="621">
        <f t="shared" si="0"/>
        <v>59797366</v>
      </c>
      <c r="L9" s="604">
        <f t="shared" si="0"/>
        <v>992307</v>
      </c>
      <c r="M9" s="621">
        <f t="shared" si="0"/>
        <v>10448999</v>
      </c>
      <c r="N9" s="740">
        <f t="shared" si="0"/>
        <v>0</v>
      </c>
      <c r="O9" s="621"/>
      <c r="P9" s="604"/>
      <c r="Q9" s="752">
        <f aca="true" t="shared" si="1" ref="Q9:Q68">C9+E9+G9+I9+K9+M9+O9</f>
        <v>15470294504</v>
      </c>
      <c r="R9" s="602">
        <f aca="true" t="shared" si="2" ref="R9:R68">D9+F9+H9+J9+L9+N9+P9</f>
        <v>12335751072</v>
      </c>
    </row>
    <row r="10" spans="1:18" s="399" customFormat="1" ht="15">
      <c r="A10" s="400" t="s">
        <v>534</v>
      </c>
      <c r="B10" s="616" t="s">
        <v>220</v>
      </c>
      <c r="C10" s="622">
        <f>SUM(C11:C14)</f>
        <v>14137755018</v>
      </c>
      <c r="D10" s="606">
        <f>SUM(D11:D14)</f>
        <v>11620679780</v>
      </c>
      <c r="E10" s="622">
        <f aca="true" t="shared" si="3" ref="E10:L10">SUM(E11:E14)</f>
        <v>0</v>
      </c>
      <c r="F10" s="606">
        <f t="shared" si="3"/>
        <v>0</v>
      </c>
      <c r="G10" s="622">
        <f t="shared" si="3"/>
        <v>0</v>
      </c>
      <c r="H10" s="606">
        <f t="shared" si="3"/>
        <v>0</v>
      </c>
      <c r="I10" s="622">
        <v>24712864</v>
      </c>
      <c r="J10" s="606">
        <v>12185265</v>
      </c>
      <c r="K10" s="622">
        <f t="shared" si="3"/>
        <v>0</v>
      </c>
      <c r="L10" s="606">
        <f t="shared" si="3"/>
        <v>0</v>
      </c>
      <c r="M10" s="622"/>
      <c r="N10" s="741"/>
      <c r="O10" s="622"/>
      <c r="P10" s="606"/>
      <c r="Q10" s="752">
        <f t="shared" si="1"/>
        <v>14162467882</v>
      </c>
      <c r="R10" s="602">
        <f t="shared" si="2"/>
        <v>11632865045</v>
      </c>
    </row>
    <row r="11" spans="1:18" s="399" customFormat="1" ht="15">
      <c r="A11" s="401" t="s">
        <v>535</v>
      </c>
      <c r="B11" s="616" t="s">
        <v>221</v>
      </c>
      <c r="C11" s="623">
        <f>4570586782+92693333</f>
        <v>4663280115</v>
      </c>
      <c r="D11" s="605">
        <v>3874935010</v>
      </c>
      <c r="E11" s="623"/>
      <c r="F11" s="605"/>
      <c r="G11" s="623"/>
      <c r="H11" s="605"/>
      <c r="I11" s="623"/>
      <c r="J11" s="605"/>
      <c r="K11" s="623"/>
      <c r="L11" s="605"/>
      <c r="M11" s="623"/>
      <c r="N11" s="742"/>
      <c r="O11" s="623"/>
      <c r="P11" s="605"/>
      <c r="Q11" s="752">
        <f t="shared" si="1"/>
        <v>4663280115</v>
      </c>
      <c r="R11" s="602">
        <f t="shared" si="2"/>
        <v>3874935010</v>
      </c>
    </row>
    <row r="12" spans="1:18" s="399" customFormat="1" ht="26.25" customHeight="1">
      <c r="A12" s="401" t="s">
        <v>536</v>
      </c>
      <c r="B12" s="616" t="s">
        <v>222</v>
      </c>
      <c r="C12" s="624"/>
      <c r="D12" s="159">
        <v>0</v>
      </c>
      <c r="E12" s="624"/>
      <c r="F12" s="159"/>
      <c r="G12" s="624"/>
      <c r="H12" s="159"/>
      <c r="I12" s="624"/>
      <c r="J12" s="159"/>
      <c r="K12" s="624"/>
      <c r="L12" s="159"/>
      <c r="M12" s="624"/>
      <c r="N12" s="743"/>
      <c r="O12" s="624"/>
      <c r="P12" s="159"/>
      <c r="Q12" s="752">
        <f t="shared" si="1"/>
        <v>0</v>
      </c>
      <c r="R12" s="602">
        <f t="shared" si="2"/>
        <v>0</v>
      </c>
    </row>
    <row r="13" spans="1:18" s="399" customFormat="1" ht="15">
      <c r="A13" s="401" t="s">
        <v>537</v>
      </c>
      <c r="B13" s="616" t="s">
        <v>223</v>
      </c>
      <c r="C13" s="624">
        <v>6584880759</v>
      </c>
      <c r="D13" s="159">
        <v>5604895879</v>
      </c>
      <c r="E13" s="624"/>
      <c r="F13" s="159"/>
      <c r="G13" s="624"/>
      <c r="H13" s="159"/>
      <c r="I13" s="624">
        <v>24712864</v>
      </c>
      <c r="J13" s="159">
        <v>12185265</v>
      </c>
      <c r="K13" s="624"/>
      <c r="L13" s="159"/>
      <c r="M13" s="624"/>
      <c r="N13" s="743"/>
      <c r="O13" s="624"/>
      <c r="P13" s="159"/>
      <c r="Q13" s="752">
        <f t="shared" si="1"/>
        <v>6609593623</v>
      </c>
      <c r="R13" s="602">
        <f t="shared" si="2"/>
        <v>5617081144</v>
      </c>
    </row>
    <row r="14" spans="1:18" s="399" customFormat="1" ht="15">
      <c r="A14" s="401" t="s">
        <v>538</v>
      </c>
      <c r="B14" s="616" t="s">
        <v>224</v>
      </c>
      <c r="C14" s="624">
        <f>2859998596+29595548</f>
        <v>2889594144</v>
      </c>
      <c r="D14" s="159">
        <v>2140848891</v>
      </c>
      <c r="E14" s="624"/>
      <c r="F14" s="159"/>
      <c r="G14" s="624"/>
      <c r="H14" s="159"/>
      <c r="I14" s="624"/>
      <c r="J14" s="159"/>
      <c r="K14" s="624"/>
      <c r="L14" s="159"/>
      <c r="M14" s="624"/>
      <c r="N14" s="743"/>
      <c r="O14" s="624"/>
      <c r="P14" s="159"/>
      <c r="Q14" s="752">
        <f t="shared" si="1"/>
        <v>2889594144</v>
      </c>
      <c r="R14" s="602">
        <f t="shared" si="2"/>
        <v>2140848891</v>
      </c>
    </row>
    <row r="15" spans="1:18" s="399" customFormat="1" ht="15">
      <c r="A15" s="400" t="s">
        <v>539</v>
      </c>
      <c r="B15" s="616" t="s">
        <v>225</v>
      </c>
      <c r="C15" s="622">
        <f>+C16+C17+C18+C19</f>
        <v>422048194</v>
      </c>
      <c r="D15" s="606">
        <f>+D16+D17+D18+D19</f>
        <v>121993163</v>
      </c>
      <c r="E15" s="622">
        <f aca="true" t="shared" si="4" ref="E15:N15">+E16+E17+E18+E19</f>
        <v>113869438</v>
      </c>
      <c r="F15" s="606">
        <f t="shared" si="4"/>
        <v>24325930</v>
      </c>
      <c r="G15" s="622">
        <f t="shared" si="4"/>
        <v>21132285</v>
      </c>
      <c r="H15" s="606">
        <f t="shared" si="4"/>
        <v>7591628</v>
      </c>
      <c r="I15" s="622">
        <f t="shared" si="4"/>
        <v>143449116</v>
      </c>
      <c r="J15" s="606">
        <f t="shared" si="4"/>
        <v>9760853</v>
      </c>
      <c r="K15" s="622">
        <f t="shared" si="4"/>
        <v>59797366</v>
      </c>
      <c r="L15" s="606">
        <f t="shared" si="4"/>
        <v>992307</v>
      </c>
      <c r="M15" s="622">
        <f t="shared" si="4"/>
        <v>10448999</v>
      </c>
      <c r="N15" s="741">
        <f t="shared" si="4"/>
        <v>0</v>
      </c>
      <c r="O15" s="622"/>
      <c r="P15" s="606"/>
      <c r="Q15" s="752">
        <f t="shared" si="1"/>
        <v>770745398</v>
      </c>
      <c r="R15" s="602">
        <f t="shared" si="2"/>
        <v>164663881</v>
      </c>
    </row>
    <row r="16" spans="1:18" s="399" customFormat="1" ht="15">
      <c r="A16" s="401" t="s">
        <v>540</v>
      </c>
      <c r="B16" s="616" t="s">
        <v>226</v>
      </c>
      <c r="C16" s="624">
        <f>7986100+35322436</f>
        <v>43308536</v>
      </c>
      <c r="D16" s="159">
        <v>23596</v>
      </c>
      <c r="E16" s="624">
        <v>7986100</v>
      </c>
      <c r="F16" s="159">
        <v>1000000</v>
      </c>
      <c r="G16" s="624"/>
      <c r="H16" s="159"/>
      <c r="I16" s="624"/>
      <c r="J16" s="159"/>
      <c r="K16" s="624"/>
      <c r="L16" s="159"/>
      <c r="M16" s="624"/>
      <c r="N16" s="743"/>
      <c r="O16" s="624"/>
      <c r="P16" s="159"/>
      <c r="Q16" s="752">
        <f t="shared" si="1"/>
        <v>51294636</v>
      </c>
      <c r="R16" s="602">
        <f t="shared" si="2"/>
        <v>1023596</v>
      </c>
    </row>
    <row r="17" spans="1:18" s="399" customFormat="1" ht="20.25">
      <c r="A17" s="401" t="s">
        <v>541</v>
      </c>
      <c r="B17" s="616" t="s">
        <v>15</v>
      </c>
      <c r="C17" s="624"/>
      <c r="D17" s="159"/>
      <c r="E17" s="624"/>
      <c r="F17" s="159"/>
      <c r="G17" s="624"/>
      <c r="H17" s="159"/>
      <c r="I17" s="624"/>
      <c r="J17" s="159"/>
      <c r="K17" s="624"/>
      <c r="L17" s="159"/>
      <c r="M17" s="624"/>
      <c r="N17" s="743"/>
      <c r="O17" s="624"/>
      <c r="P17" s="159"/>
      <c r="Q17" s="752">
        <f t="shared" si="1"/>
        <v>0</v>
      </c>
      <c r="R17" s="602">
        <f t="shared" si="2"/>
        <v>0</v>
      </c>
    </row>
    <row r="18" spans="1:18" s="399" customFormat="1" ht="15">
      <c r="A18" s="401" t="s">
        <v>542</v>
      </c>
      <c r="B18" s="616" t="s">
        <v>16</v>
      </c>
      <c r="C18" s="624">
        <v>260664316</v>
      </c>
      <c r="D18" s="159">
        <v>121211507</v>
      </c>
      <c r="E18" s="624">
        <v>44688821</v>
      </c>
      <c r="F18" s="159">
        <v>23023221</v>
      </c>
      <c r="G18" s="624">
        <v>7578212</v>
      </c>
      <c r="H18" s="159">
        <v>870930</v>
      </c>
      <c r="I18" s="624"/>
      <c r="J18" s="159"/>
      <c r="K18" s="624"/>
      <c r="L18" s="159"/>
      <c r="M18" s="624"/>
      <c r="N18" s="743"/>
      <c r="O18" s="624"/>
      <c r="P18" s="159"/>
      <c r="Q18" s="752">
        <f t="shared" si="1"/>
        <v>312931349</v>
      </c>
      <c r="R18" s="602">
        <f t="shared" si="2"/>
        <v>145105658</v>
      </c>
    </row>
    <row r="19" spans="1:18" s="399" customFormat="1" ht="15">
      <c r="A19" s="401" t="s">
        <v>543</v>
      </c>
      <c r="B19" s="616" t="s">
        <v>17</v>
      </c>
      <c r="C19" s="624">
        <v>118075342</v>
      </c>
      <c r="D19" s="159">
        <v>758060</v>
      </c>
      <c r="E19" s="624">
        <f>60060631+1133886</f>
        <v>61194517</v>
      </c>
      <c r="F19" s="159">
        <v>302709</v>
      </c>
      <c r="G19" s="624">
        <v>13554073</v>
      </c>
      <c r="H19" s="159">
        <v>6720698</v>
      </c>
      <c r="I19" s="624">
        <v>143449116</v>
      </c>
      <c r="J19" s="159">
        <v>9760853</v>
      </c>
      <c r="K19" s="624">
        <v>59797366</v>
      </c>
      <c r="L19" s="159">
        <v>992307</v>
      </c>
      <c r="M19" s="624">
        <v>10448999</v>
      </c>
      <c r="N19" s="743"/>
      <c r="O19" s="624"/>
      <c r="P19" s="159"/>
      <c r="Q19" s="752">
        <f t="shared" si="1"/>
        <v>406519413</v>
      </c>
      <c r="R19" s="602">
        <f t="shared" si="2"/>
        <v>18534627</v>
      </c>
    </row>
    <row r="20" spans="1:18" s="399" customFormat="1" ht="15">
      <c r="A20" s="400" t="s">
        <v>544</v>
      </c>
      <c r="B20" s="616" t="s">
        <v>18</v>
      </c>
      <c r="C20" s="622">
        <f>+C21+C22+C23+C24</f>
        <v>0</v>
      </c>
      <c r="D20" s="606">
        <f>+D21+D22+D23+D24</f>
        <v>0</v>
      </c>
      <c r="E20" s="622">
        <f aca="true" t="shared" si="5" ref="E20:N20">+E21+E22+E23+E24</f>
        <v>0</v>
      </c>
      <c r="F20" s="606">
        <f t="shared" si="5"/>
        <v>0</v>
      </c>
      <c r="G20" s="622">
        <f t="shared" si="5"/>
        <v>0</v>
      </c>
      <c r="H20" s="606">
        <f t="shared" si="5"/>
        <v>0</v>
      </c>
      <c r="I20" s="622">
        <f t="shared" si="5"/>
        <v>0</v>
      </c>
      <c r="J20" s="606">
        <f t="shared" si="5"/>
        <v>0</v>
      </c>
      <c r="K20" s="622">
        <f t="shared" si="5"/>
        <v>0</v>
      </c>
      <c r="L20" s="606">
        <f t="shared" si="5"/>
        <v>0</v>
      </c>
      <c r="M20" s="622">
        <f t="shared" si="5"/>
        <v>0</v>
      </c>
      <c r="N20" s="741">
        <f t="shared" si="5"/>
        <v>0</v>
      </c>
      <c r="O20" s="622"/>
      <c r="P20" s="606"/>
      <c r="Q20" s="752">
        <f t="shared" si="1"/>
        <v>0</v>
      </c>
      <c r="R20" s="602">
        <f t="shared" si="2"/>
        <v>0</v>
      </c>
    </row>
    <row r="21" spans="1:18" s="399" customFormat="1" ht="15">
      <c r="A21" s="401" t="s">
        <v>545</v>
      </c>
      <c r="B21" s="616" t="s">
        <v>19</v>
      </c>
      <c r="C21" s="624"/>
      <c r="D21" s="159"/>
      <c r="E21" s="624"/>
      <c r="F21" s="159"/>
      <c r="G21" s="624"/>
      <c r="H21" s="159"/>
      <c r="I21" s="624"/>
      <c r="J21" s="159"/>
      <c r="K21" s="624"/>
      <c r="L21" s="159"/>
      <c r="M21" s="624"/>
      <c r="N21" s="743"/>
      <c r="O21" s="624"/>
      <c r="P21" s="159"/>
      <c r="Q21" s="752">
        <f t="shared" si="1"/>
        <v>0</v>
      </c>
      <c r="R21" s="602">
        <f t="shared" si="2"/>
        <v>0</v>
      </c>
    </row>
    <row r="22" spans="1:18" s="399" customFormat="1" ht="15">
      <c r="A22" s="401" t="s">
        <v>546</v>
      </c>
      <c r="B22" s="616" t="s">
        <v>20</v>
      </c>
      <c r="C22" s="624"/>
      <c r="D22" s="159"/>
      <c r="E22" s="624"/>
      <c r="F22" s="159"/>
      <c r="G22" s="624"/>
      <c r="H22" s="159"/>
      <c r="I22" s="624"/>
      <c r="J22" s="159"/>
      <c r="K22" s="624"/>
      <c r="L22" s="159"/>
      <c r="M22" s="624"/>
      <c r="N22" s="743"/>
      <c r="O22" s="624"/>
      <c r="P22" s="159"/>
      <c r="Q22" s="752">
        <f t="shared" si="1"/>
        <v>0</v>
      </c>
      <c r="R22" s="602">
        <f t="shared" si="2"/>
        <v>0</v>
      </c>
    </row>
    <row r="23" spans="1:18" s="399" customFormat="1" ht="15">
      <c r="A23" s="401" t="s">
        <v>547</v>
      </c>
      <c r="B23" s="616" t="s">
        <v>21</v>
      </c>
      <c r="C23" s="624"/>
      <c r="D23" s="159"/>
      <c r="E23" s="624"/>
      <c r="F23" s="159"/>
      <c r="G23" s="624"/>
      <c r="H23" s="159"/>
      <c r="I23" s="624"/>
      <c r="J23" s="159"/>
      <c r="K23" s="624"/>
      <c r="L23" s="159"/>
      <c r="M23" s="624"/>
      <c r="N23" s="743"/>
      <c r="O23" s="624"/>
      <c r="P23" s="159"/>
      <c r="Q23" s="752">
        <f t="shared" si="1"/>
        <v>0</v>
      </c>
      <c r="R23" s="602">
        <f t="shared" si="2"/>
        <v>0</v>
      </c>
    </row>
    <row r="24" spans="1:18" s="399" customFormat="1" ht="15">
      <c r="A24" s="401" t="s">
        <v>548</v>
      </c>
      <c r="B24" s="616" t="s">
        <v>22</v>
      </c>
      <c r="C24" s="624"/>
      <c r="D24" s="159"/>
      <c r="E24" s="624"/>
      <c r="F24" s="159"/>
      <c r="G24" s="624"/>
      <c r="H24" s="159"/>
      <c r="I24" s="624"/>
      <c r="J24" s="159"/>
      <c r="K24" s="624"/>
      <c r="L24" s="159"/>
      <c r="M24" s="624"/>
      <c r="N24" s="743"/>
      <c r="O24" s="624"/>
      <c r="P24" s="159"/>
      <c r="Q24" s="752">
        <f t="shared" si="1"/>
        <v>0</v>
      </c>
      <c r="R24" s="602">
        <f t="shared" si="2"/>
        <v>0</v>
      </c>
    </row>
    <row r="25" spans="1:18" s="399" customFormat="1" ht="15">
      <c r="A25" s="400" t="s">
        <v>549</v>
      </c>
      <c r="B25" s="616" t="s">
        <v>23</v>
      </c>
      <c r="C25" s="622">
        <v>537081224</v>
      </c>
      <c r="D25" s="606">
        <v>537081224</v>
      </c>
      <c r="E25" s="622">
        <f aca="true" t="shared" si="6" ref="E25:N25">+E26+E27+E28+E29</f>
        <v>0</v>
      </c>
      <c r="F25" s="606">
        <v>113551</v>
      </c>
      <c r="G25" s="622">
        <f t="shared" si="6"/>
        <v>0</v>
      </c>
      <c r="H25" s="606">
        <f t="shared" si="6"/>
        <v>0</v>
      </c>
      <c r="I25" s="622">
        <f t="shared" si="6"/>
        <v>0</v>
      </c>
      <c r="J25" s="606">
        <f t="shared" si="6"/>
        <v>1027371</v>
      </c>
      <c r="K25" s="622">
        <f t="shared" si="6"/>
        <v>0</v>
      </c>
      <c r="L25" s="606">
        <f t="shared" si="6"/>
        <v>0</v>
      </c>
      <c r="M25" s="622">
        <f t="shared" si="6"/>
        <v>0</v>
      </c>
      <c r="N25" s="741">
        <f t="shared" si="6"/>
        <v>0</v>
      </c>
      <c r="O25" s="622"/>
      <c r="P25" s="606"/>
      <c r="Q25" s="752">
        <f t="shared" si="1"/>
        <v>537081224</v>
      </c>
      <c r="R25" s="602">
        <f t="shared" si="2"/>
        <v>538222146</v>
      </c>
    </row>
    <row r="26" spans="1:18" s="399" customFormat="1" ht="15">
      <c r="A26" s="401" t="s">
        <v>550</v>
      </c>
      <c r="B26" s="616" t="s">
        <v>24</v>
      </c>
      <c r="C26" s="624"/>
      <c r="D26" s="159"/>
      <c r="E26" s="624"/>
      <c r="F26" s="159"/>
      <c r="G26" s="624"/>
      <c r="H26" s="159"/>
      <c r="I26" s="624"/>
      <c r="J26" s="159"/>
      <c r="K26" s="624"/>
      <c r="L26" s="159"/>
      <c r="M26" s="624"/>
      <c r="N26" s="743"/>
      <c r="O26" s="624"/>
      <c r="P26" s="159"/>
      <c r="Q26" s="752">
        <f t="shared" si="1"/>
        <v>0</v>
      </c>
      <c r="R26" s="602">
        <f t="shared" si="2"/>
        <v>0</v>
      </c>
    </row>
    <row r="27" spans="1:18" s="399" customFormat="1" ht="15">
      <c r="A27" s="401" t="s">
        <v>551</v>
      </c>
      <c r="B27" s="616" t="s">
        <v>25</v>
      </c>
      <c r="C27" s="624"/>
      <c r="D27" s="159"/>
      <c r="E27" s="624"/>
      <c r="F27" s="159"/>
      <c r="G27" s="624"/>
      <c r="H27" s="159"/>
      <c r="I27" s="624"/>
      <c r="J27" s="159"/>
      <c r="K27" s="624"/>
      <c r="L27" s="159"/>
      <c r="M27" s="624"/>
      <c r="N27" s="743"/>
      <c r="O27" s="624"/>
      <c r="P27" s="159"/>
      <c r="Q27" s="752">
        <f t="shared" si="1"/>
        <v>0</v>
      </c>
      <c r="R27" s="602">
        <f t="shared" si="2"/>
        <v>0</v>
      </c>
    </row>
    <row r="28" spans="1:18" s="399" customFormat="1" ht="15">
      <c r="A28" s="401" t="s">
        <v>552</v>
      </c>
      <c r="B28" s="616" t="s">
        <v>26</v>
      </c>
      <c r="C28" s="624"/>
      <c r="D28" s="159"/>
      <c r="E28" s="624"/>
      <c r="F28" s="159"/>
      <c r="G28" s="624"/>
      <c r="H28" s="159"/>
      <c r="I28" s="624"/>
      <c r="J28" s="159"/>
      <c r="K28" s="624"/>
      <c r="L28" s="159"/>
      <c r="M28" s="624"/>
      <c r="N28" s="743"/>
      <c r="O28" s="624"/>
      <c r="P28" s="159"/>
      <c r="Q28" s="752">
        <f t="shared" si="1"/>
        <v>0</v>
      </c>
      <c r="R28" s="602">
        <f t="shared" si="2"/>
        <v>0</v>
      </c>
    </row>
    <row r="29" spans="1:18" s="399" customFormat="1" ht="15">
      <c r="A29" s="401" t="s">
        <v>553</v>
      </c>
      <c r="B29" s="616" t="s">
        <v>27</v>
      </c>
      <c r="C29" s="624">
        <v>537081224</v>
      </c>
      <c r="D29" s="159">
        <v>537081224</v>
      </c>
      <c r="E29" s="624"/>
      <c r="F29" s="159"/>
      <c r="G29" s="624"/>
      <c r="H29" s="159"/>
      <c r="I29" s="624"/>
      <c r="J29" s="159">
        <v>1027371</v>
      </c>
      <c r="K29" s="624"/>
      <c r="L29" s="159"/>
      <c r="M29" s="624"/>
      <c r="N29" s="743"/>
      <c r="O29" s="624"/>
      <c r="P29" s="159"/>
      <c r="Q29" s="752">
        <f t="shared" si="1"/>
        <v>537081224</v>
      </c>
      <c r="R29" s="602">
        <f t="shared" si="2"/>
        <v>538108595</v>
      </c>
    </row>
    <row r="30" spans="1:18" s="399" customFormat="1" ht="15">
      <c r="A30" s="400" t="s">
        <v>554</v>
      </c>
      <c r="B30" s="616" t="s">
        <v>28</v>
      </c>
      <c r="C30" s="622">
        <f>+C31+C32+C33+C34</f>
        <v>0</v>
      </c>
      <c r="D30" s="606">
        <f>+D31+D32+D33+D34</f>
        <v>0</v>
      </c>
      <c r="E30" s="622">
        <f aca="true" t="shared" si="7" ref="E30:N30">+E31+E32+E33+E34</f>
        <v>0</v>
      </c>
      <c r="F30" s="606">
        <f t="shared" si="7"/>
        <v>0</v>
      </c>
      <c r="G30" s="622">
        <f t="shared" si="7"/>
        <v>0</v>
      </c>
      <c r="H30" s="606">
        <f t="shared" si="7"/>
        <v>0</v>
      </c>
      <c r="I30" s="622">
        <f t="shared" si="7"/>
        <v>0</v>
      </c>
      <c r="J30" s="606">
        <f t="shared" si="7"/>
        <v>0</v>
      </c>
      <c r="K30" s="622">
        <f t="shared" si="7"/>
        <v>0</v>
      </c>
      <c r="L30" s="606">
        <f t="shared" si="7"/>
        <v>0</v>
      </c>
      <c r="M30" s="622">
        <f t="shared" si="7"/>
        <v>0</v>
      </c>
      <c r="N30" s="741">
        <f t="shared" si="7"/>
        <v>0</v>
      </c>
      <c r="O30" s="622"/>
      <c r="P30" s="606"/>
      <c r="Q30" s="752">
        <f t="shared" si="1"/>
        <v>0</v>
      </c>
      <c r="R30" s="602">
        <f t="shared" si="2"/>
        <v>0</v>
      </c>
    </row>
    <row r="31" spans="1:18" s="399" customFormat="1" ht="15">
      <c r="A31" s="401" t="s">
        <v>555</v>
      </c>
      <c r="B31" s="616" t="s">
        <v>29</v>
      </c>
      <c r="C31" s="624"/>
      <c r="D31" s="159"/>
      <c r="E31" s="624"/>
      <c r="F31" s="159"/>
      <c r="G31" s="624"/>
      <c r="H31" s="159"/>
      <c r="I31" s="624"/>
      <c r="J31" s="159"/>
      <c r="K31" s="624"/>
      <c r="L31" s="159"/>
      <c r="M31" s="624"/>
      <c r="N31" s="743"/>
      <c r="O31" s="624"/>
      <c r="P31" s="159"/>
      <c r="Q31" s="752">
        <f t="shared" si="1"/>
        <v>0</v>
      </c>
      <c r="R31" s="602">
        <f t="shared" si="2"/>
        <v>0</v>
      </c>
    </row>
    <row r="32" spans="1:18" s="399" customFormat="1" ht="20.25">
      <c r="A32" s="401" t="s">
        <v>556</v>
      </c>
      <c r="B32" s="616" t="s">
        <v>30</v>
      </c>
      <c r="C32" s="624"/>
      <c r="D32" s="159"/>
      <c r="E32" s="624"/>
      <c r="F32" s="159"/>
      <c r="G32" s="624"/>
      <c r="H32" s="159"/>
      <c r="I32" s="624"/>
      <c r="J32" s="159"/>
      <c r="K32" s="624"/>
      <c r="L32" s="159"/>
      <c r="M32" s="624"/>
      <c r="N32" s="743"/>
      <c r="O32" s="624"/>
      <c r="P32" s="159"/>
      <c r="Q32" s="752">
        <f t="shared" si="1"/>
        <v>0</v>
      </c>
      <c r="R32" s="602">
        <f t="shared" si="2"/>
        <v>0</v>
      </c>
    </row>
    <row r="33" spans="1:18" s="399" customFormat="1" ht="15">
      <c r="A33" s="401" t="s">
        <v>557</v>
      </c>
      <c r="B33" s="616" t="s">
        <v>31</v>
      </c>
      <c r="C33" s="624"/>
      <c r="D33" s="159"/>
      <c r="E33" s="624"/>
      <c r="F33" s="159"/>
      <c r="G33" s="624"/>
      <c r="H33" s="159"/>
      <c r="I33" s="624"/>
      <c r="J33" s="159"/>
      <c r="K33" s="624"/>
      <c r="L33" s="159"/>
      <c r="M33" s="624"/>
      <c r="N33" s="743"/>
      <c r="O33" s="624"/>
      <c r="P33" s="159"/>
      <c r="Q33" s="752">
        <f t="shared" si="1"/>
        <v>0</v>
      </c>
      <c r="R33" s="602">
        <f t="shared" si="2"/>
        <v>0</v>
      </c>
    </row>
    <row r="34" spans="1:18" s="399" customFormat="1" ht="15">
      <c r="A34" s="401" t="s">
        <v>558</v>
      </c>
      <c r="B34" s="616" t="s">
        <v>32</v>
      </c>
      <c r="C34" s="624"/>
      <c r="D34" s="159"/>
      <c r="E34" s="624"/>
      <c r="F34" s="159"/>
      <c r="G34" s="624"/>
      <c r="H34" s="159"/>
      <c r="I34" s="624"/>
      <c r="J34" s="159"/>
      <c r="K34" s="624"/>
      <c r="L34" s="159"/>
      <c r="M34" s="624"/>
      <c r="N34" s="743"/>
      <c r="O34" s="624"/>
      <c r="P34" s="159"/>
      <c r="Q34" s="752">
        <f t="shared" si="1"/>
        <v>0</v>
      </c>
      <c r="R34" s="602">
        <f t="shared" si="2"/>
        <v>0</v>
      </c>
    </row>
    <row r="35" spans="1:18" s="399" customFormat="1" ht="15">
      <c r="A35" s="400" t="s">
        <v>559</v>
      </c>
      <c r="B35" s="617" t="s">
        <v>33</v>
      </c>
      <c r="C35" s="621">
        <f>+C36+C41+C46</f>
        <v>89995949</v>
      </c>
      <c r="D35" s="604">
        <f>+D36+D41+D46</f>
        <v>83500190</v>
      </c>
      <c r="E35" s="621"/>
      <c r="F35" s="604"/>
      <c r="G35" s="621"/>
      <c r="H35" s="604"/>
      <c r="I35" s="621"/>
      <c r="J35" s="604"/>
      <c r="K35" s="621"/>
      <c r="L35" s="604"/>
      <c r="M35" s="621"/>
      <c r="N35" s="740"/>
      <c r="O35" s="621"/>
      <c r="P35" s="604"/>
      <c r="Q35" s="752">
        <f t="shared" si="1"/>
        <v>89995949</v>
      </c>
      <c r="R35" s="602">
        <f t="shared" si="2"/>
        <v>83500190</v>
      </c>
    </row>
    <row r="36" spans="1:18" s="399" customFormat="1" ht="15">
      <c r="A36" s="400" t="s">
        <v>560</v>
      </c>
      <c r="B36" s="616" t="s">
        <v>34</v>
      </c>
      <c r="C36" s="622">
        <f>+C37+C38+C39+C40</f>
        <v>89995949</v>
      </c>
      <c r="D36" s="606">
        <f>+D37+D38+D39+D40</f>
        <v>83500190</v>
      </c>
      <c r="E36" s="622"/>
      <c r="F36" s="606"/>
      <c r="G36" s="622"/>
      <c r="H36" s="606"/>
      <c r="I36" s="622"/>
      <c r="J36" s="606"/>
      <c r="K36" s="622"/>
      <c r="L36" s="606"/>
      <c r="M36" s="622"/>
      <c r="N36" s="741"/>
      <c r="O36" s="622"/>
      <c r="P36" s="606"/>
      <c r="Q36" s="752">
        <f t="shared" si="1"/>
        <v>89995949</v>
      </c>
      <c r="R36" s="602">
        <f t="shared" si="2"/>
        <v>83500190</v>
      </c>
    </row>
    <row r="37" spans="1:18" s="399" customFormat="1" ht="15">
      <c r="A37" s="401" t="s">
        <v>561</v>
      </c>
      <c r="B37" s="616" t="s">
        <v>86</v>
      </c>
      <c r="C37" s="624">
        <v>7200</v>
      </c>
      <c r="D37" s="159">
        <v>7200</v>
      </c>
      <c r="E37" s="624"/>
      <c r="F37" s="159"/>
      <c r="G37" s="624"/>
      <c r="H37" s="159"/>
      <c r="I37" s="624"/>
      <c r="J37" s="159"/>
      <c r="K37" s="624"/>
      <c r="L37" s="159"/>
      <c r="M37" s="624"/>
      <c r="N37" s="743"/>
      <c r="O37" s="624"/>
      <c r="P37" s="159"/>
      <c r="Q37" s="752">
        <f t="shared" si="1"/>
        <v>7200</v>
      </c>
      <c r="R37" s="602">
        <f t="shared" si="2"/>
        <v>7200</v>
      </c>
    </row>
    <row r="38" spans="1:18" s="399" customFormat="1" ht="15">
      <c r="A38" s="401" t="s">
        <v>562</v>
      </c>
      <c r="B38" s="616" t="s">
        <v>180</v>
      </c>
      <c r="C38" s="624"/>
      <c r="D38" s="159"/>
      <c r="E38" s="624"/>
      <c r="F38" s="159"/>
      <c r="G38" s="624"/>
      <c r="H38" s="159"/>
      <c r="I38" s="624"/>
      <c r="J38" s="159"/>
      <c r="K38" s="624"/>
      <c r="L38" s="159"/>
      <c r="M38" s="624"/>
      <c r="N38" s="743"/>
      <c r="O38" s="624"/>
      <c r="P38" s="159"/>
      <c r="Q38" s="752">
        <f t="shared" si="1"/>
        <v>0</v>
      </c>
      <c r="R38" s="602">
        <f t="shared" si="2"/>
        <v>0</v>
      </c>
    </row>
    <row r="39" spans="1:18" s="399" customFormat="1" ht="15">
      <c r="A39" s="401" t="s">
        <v>563</v>
      </c>
      <c r="B39" s="616" t="s">
        <v>211</v>
      </c>
      <c r="C39" s="624">
        <v>26316000</v>
      </c>
      <c r="D39" s="159">
        <v>26316000</v>
      </c>
      <c r="E39" s="624"/>
      <c r="F39" s="159"/>
      <c r="G39" s="624"/>
      <c r="H39" s="159"/>
      <c r="I39" s="624"/>
      <c r="J39" s="159"/>
      <c r="K39" s="624"/>
      <c r="L39" s="159"/>
      <c r="M39" s="624"/>
      <c r="N39" s="743"/>
      <c r="O39" s="624"/>
      <c r="P39" s="159"/>
      <c r="Q39" s="752">
        <f t="shared" si="1"/>
        <v>26316000</v>
      </c>
      <c r="R39" s="602">
        <f t="shared" si="2"/>
        <v>26316000</v>
      </c>
    </row>
    <row r="40" spans="1:18" s="399" customFormat="1" ht="15">
      <c r="A40" s="401" t="s">
        <v>564</v>
      </c>
      <c r="B40" s="616" t="s">
        <v>212</v>
      </c>
      <c r="C40" s="624">
        <f>63253249+419500</f>
        <v>63672749</v>
      </c>
      <c r="D40" s="159">
        <v>57176990</v>
      </c>
      <c r="E40" s="624"/>
      <c r="F40" s="159"/>
      <c r="G40" s="624"/>
      <c r="H40" s="159"/>
      <c r="I40" s="624"/>
      <c r="J40" s="159"/>
      <c r="K40" s="624"/>
      <c r="L40" s="159"/>
      <c r="M40" s="624"/>
      <c r="N40" s="743"/>
      <c r="O40" s="624"/>
      <c r="P40" s="159"/>
      <c r="Q40" s="752">
        <f t="shared" si="1"/>
        <v>63672749</v>
      </c>
      <c r="R40" s="602">
        <f t="shared" si="2"/>
        <v>57176990</v>
      </c>
    </row>
    <row r="41" spans="1:18" s="399" customFormat="1" ht="15">
      <c r="A41" s="400" t="s">
        <v>565</v>
      </c>
      <c r="B41" s="616" t="s">
        <v>227</v>
      </c>
      <c r="C41" s="622">
        <f>+C42+C43+C44+C45</f>
        <v>0</v>
      </c>
      <c r="D41" s="606">
        <f>+D42+D43+D44+D45</f>
        <v>0</v>
      </c>
      <c r="E41" s="622">
        <f aca="true" t="shared" si="8" ref="E41:N41">+E42+E43+E44+E45</f>
        <v>0</v>
      </c>
      <c r="F41" s="606">
        <f t="shared" si="8"/>
        <v>0</v>
      </c>
      <c r="G41" s="622">
        <f t="shared" si="8"/>
        <v>0</v>
      </c>
      <c r="H41" s="606">
        <f t="shared" si="8"/>
        <v>0</v>
      </c>
      <c r="I41" s="622">
        <f t="shared" si="8"/>
        <v>0</v>
      </c>
      <c r="J41" s="606">
        <f t="shared" si="8"/>
        <v>0</v>
      </c>
      <c r="K41" s="622">
        <f t="shared" si="8"/>
        <v>0</v>
      </c>
      <c r="L41" s="606">
        <f t="shared" si="8"/>
        <v>0</v>
      </c>
      <c r="M41" s="622">
        <f t="shared" si="8"/>
        <v>0</v>
      </c>
      <c r="N41" s="741">
        <f t="shared" si="8"/>
        <v>0</v>
      </c>
      <c r="O41" s="622"/>
      <c r="P41" s="606"/>
      <c r="Q41" s="752">
        <f t="shared" si="1"/>
        <v>0</v>
      </c>
      <c r="R41" s="602">
        <f t="shared" si="2"/>
        <v>0</v>
      </c>
    </row>
    <row r="42" spans="1:18" s="399" customFormat="1" ht="15">
      <c r="A42" s="401" t="s">
        <v>566</v>
      </c>
      <c r="B42" s="616" t="s">
        <v>228</v>
      </c>
      <c r="C42" s="624"/>
      <c r="D42" s="159"/>
      <c r="E42" s="624"/>
      <c r="F42" s="159"/>
      <c r="G42" s="624"/>
      <c r="H42" s="159"/>
      <c r="I42" s="624"/>
      <c r="J42" s="159"/>
      <c r="K42" s="624"/>
      <c r="L42" s="159"/>
      <c r="M42" s="624"/>
      <c r="N42" s="743"/>
      <c r="O42" s="624"/>
      <c r="P42" s="159"/>
      <c r="Q42" s="752">
        <f t="shared" si="1"/>
        <v>0</v>
      </c>
      <c r="R42" s="602">
        <f t="shared" si="2"/>
        <v>0</v>
      </c>
    </row>
    <row r="43" spans="1:18" s="399" customFormat="1" ht="20.25">
      <c r="A43" s="401" t="s">
        <v>567</v>
      </c>
      <c r="B43" s="616" t="s">
        <v>229</v>
      </c>
      <c r="C43" s="624"/>
      <c r="D43" s="159"/>
      <c r="E43" s="624"/>
      <c r="F43" s="159"/>
      <c r="G43" s="624"/>
      <c r="H43" s="159"/>
      <c r="I43" s="624"/>
      <c r="J43" s="159"/>
      <c r="K43" s="624"/>
      <c r="L43" s="159"/>
      <c r="M43" s="624"/>
      <c r="N43" s="743"/>
      <c r="O43" s="624"/>
      <c r="P43" s="159"/>
      <c r="Q43" s="752">
        <f t="shared" si="1"/>
        <v>0</v>
      </c>
      <c r="R43" s="602">
        <f t="shared" si="2"/>
        <v>0</v>
      </c>
    </row>
    <row r="44" spans="1:18" s="399" customFormat="1" ht="15">
      <c r="A44" s="401" t="s">
        <v>568</v>
      </c>
      <c r="B44" s="616" t="s">
        <v>230</v>
      </c>
      <c r="C44" s="624"/>
      <c r="D44" s="159"/>
      <c r="E44" s="624"/>
      <c r="F44" s="159"/>
      <c r="G44" s="624"/>
      <c r="H44" s="159"/>
      <c r="I44" s="624"/>
      <c r="J44" s="159"/>
      <c r="K44" s="624"/>
      <c r="L44" s="159"/>
      <c r="M44" s="624"/>
      <c r="N44" s="743"/>
      <c r="O44" s="624"/>
      <c r="P44" s="159"/>
      <c r="Q44" s="752">
        <f t="shared" si="1"/>
        <v>0</v>
      </c>
      <c r="R44" s="602">
        <f t="shared" si="2"/>
        <v>0</v>
      </c>
    </row>
    <row r="45" spans="1:18" s="399" customFormat="1" ht="15">
      <c r="A45" s="401" t="s">
        <v>569</v>
      </c>
      <c r="B45" s="616" t="s">
        <v>231</v>
      </c>
      <c r="C45" s="624"/>
      <c r="D45" s="159"/>
      <c r="E45" s="624"/>
      <c r="F45" s="159"/>
      <c r="G45" s="624"/>
      <c r="H45" s="159"/>
      <c r="I45" s="624"/>
      <c r="J45" s="159"/>
      <c r="K45" s="624"/>
      <c r="L45" s="159"/>
      <c r="M45" s="624"/>
      <c r="N45" s="743"/>
      <c r="O45" s="624"/>
      <c r="P45" s="159"/>
      <c r="Q45" s="752">
        <f t="shared" si="1"/>
        <v>0</v>
      </c>
      <c r="R45" s="602">
        <f t="shared" si="2"/>
        <v>0</v>
      </c>
    </row>
    <row r="46" spans="1:18" s="399" customFormat="1" ht="15">
      <c r="A46" s="400" t="s">
        <v>570</v>
      </c>
      <c r="B46" s="616" t="s">
        <v>232</v>
      </c>
      <c r="C46" s="621">
        <f>+C47+C48+C49+C50</f>
        <v>0</v>
      </c>
      <c r="D46" s="604">
        <f>+D47+D48+D49+D50</f>
        <v>0</v>
      </c>
      <c r="E46" s="621">
        <f aca="true" t="shared" si="9" ref="E46:N46">+E47+E48+E49+E50</f>
        <v>0</v>
      </c>
      <c r="F46" s="604">
        <f t="shared" si="9"/>
        <v>0</v>
      </c>
      <c r="G46" s="621">
        <f t="shared" si="9"/>
        <v>0</v>
      </c>
      <c r="H46" s="604">
        <f t="shared" si="9"/>
        <v>0</v>
      </c>
      <c r="I46" s="621">
        <f t="shared" si="9"/>
        <v>0</v>
      </c>
      <c r="J46" s="604">
        <f t="shared" si="9"/>
        <v>0</v>
      </c>
      <c r="K46" s="621">
        <f t="shared" si="9"/>
        <v>0</v>
      </c>
      <c r="L46" s="604">
        <f t="shared" si="9"/>
        <v>0</v>
      </c>
      <c r="M46" s="621">
        <f t="shared" si="9"/>
        <v>0</v>
      </c>
      <c r="N46" s="740">
        <f t="shared" si="9"/>
        <v>0</v>
      </c>
      <c r="O46" s="621"/>
      <c r="P46" s="604"/>
      <c r="Q46" s="752">
        <f t="shared" si="1"/>
        <v>0</v>
      </c>
      <c r="R46" s="602">
        <f t="shared" si="2"/>
        <v>0</v>
      </c>
    </row>
    <row r="47" spans="1:18" s="399" customFormat="1" ht="15">
      <c r="A47" s="401" t="s">
        <v>571</v>
      </c>
      <c r="B47" s="616" t="s">
        <v>233</v>
      </c>
      <c r="C47" s="624"/>
      <c r="D47" s="159"/>
      <c r="E47" s="624"/>
      <c r="F47" s="159"/>
      <c r="G47" s="624"/>
      <c r="H47" s="159"/>
      <c r="I47" s="624"/>
      <c r="J47" s="159"/>
      <c r="K47" s="624"/>
      <c r="L47" s="159"/>
      <c r="M47" s="624"/>
      <c r="N47" s="743"/>
      <c r="O47" s="624"/>
      <c r="P47" s="159"/>
      <c r="Q47" s="752">
        <f t="shared" si="1"/>
        <v>0</v>
      </c>
      <c r="R47" s="602">
        <f t="shared" si="2"/>
        <v>0</v>
      </c>
    </row>
    <row r="48" spans="1:18" s="399" customFormat="1" ht="20.25">
      <c r="A48" s="401" t="s">
        <v>572</v>
      </c>
      <c r="B48" s="616" t="s">
        <v>234</v>
      </c>
      <c r="C48" s="624"/>
      <c r="D48" s="159"/>
      <c r="E48" s="624"/>
      <c r="F48" s="159"/>
      <c r="G48" s="624"/>
      <c r="H48" s="159"/>
      <c r="I48" s="624"/>
      <c r="J48" s="159"/>
      <c r="K48" s="624"/>
      <c r="L48" s="159"/>
      <c r="M48" s="624"/>
      <c r="N48" s="743"/>
      <c r="O48" s="624"/>
      <c r="P48" s="159"/>
      <c r="Q48" s="752">
        <f t="shared" si="1"/>
        <v>0</v>
      </c>
      <c r="R48" s="602">
        <f t="shared" si="2"/>
        <v>0</v>
      </c>
    </row>
    <row r="49" spans="1:18" s="399" customFormat="1" ht="15">
      <c r="A49" s="401" t="s">
        <v>573</v>
      </c>
      <c r="B49" s="616" t="s">
        <v>235</v>
      </c>
      <c r="C49" s="624"/>
      <c r="D49" s="159"/>
      <c r="E49" s="624"/>
      <c r="F49" s="159"/>
      <c r="G49" s="624"/>
      <c r="H49" s="159"/>
      <c r="I49" s="624"/>
      <c r="J49" s="159"/>
      <c r="K49" s="624"/>
      <c r="L49" s="159"/>
      <c r="M49" s="624"/>
      <c r="N49" s="743"/>
      <c r="O49" s="624"/>
      <c r="P49" s="159"/>
      <c r="Q49" s="752">
        <f t="shared" si="1"/>
        <v>0</v>
      </c>
      <c r="R49" s="602">
        <f t="shared" si="2"/>
        <v>0</v>
      </c>
    </row>
    <row r="50" spans="1:18" s="399" customFormat="1" ht="15">
      <c r="A50" s="401" t="s">
        <v>574</v>
      </c>
      <c r="B50" s="616" t="s">
        <v>236</v>
      </c>
      <c r="C50" s="624"/>
      <c r="D50" s="159"/>
      <c r="E50" s="624"/>
      <c r="F50" s="159"/>
      <c r="G50" s="624"/>
      <c r="H50" s="159"/>
      <c r="I50" s="624"/>
      <c r="J50" s="159"/>
      <c r="K50" s="624"/>
      <c r="L50" s="159"/>
      <c r="M50" s="624"/>
      <c r="N50" s="743"/>
      <c r="O50" s="624"/>
      <c r="P50" s="159"/>
      <c r="Q50" s="752">
        <f t="shared" si="1"/>
        <v>0</v>
      </c>
      <c r="R50" s="602">
        <f t="shared" si="2"/>
        <v>0</v>
      </c>
    </row>
    <row r="51" spans="1:18" s="399" customFormat="1" ht="15">
      <c r="A51" s="400" t="s">
        <v>575</v>
      </c>
      <c r="B51" s="616" t="s">
        <v>237</v>
      </c>
      <c r="C51" s="625"/>
      <c r="D51" s="608"/>
      <c r="E51" s="625"/>
      <c r="F51" s="608"/>
      <c r="G51" s="625"/>
      <c r="H51" s="608"/>
      <c r="I51" s="625"/>
      <c r="J51" s="608"/>
      <c r="K51" s="625"/>
      <c r="L51" s="608"/>
      <c r="M51" s="625"/>
      <c r="N51" s="744"/>
      <c r="O51" s="625"/>
      <c r="P51" s="608"/>
      <c r="Q51" s="752">
        <f t="shared" si="1"/>
        <v>0</v>
      </c>
      <c r="R51" s="602">
        <f t="shared" si="2"/>
        <v>0</v>
      </c>
    </row>
    <row r="52" spans="1:18" s="399" customFormat="1" ht="26.25">
      <c r="A52" s="572" t="s">
        <v>576</v>
      </c>
      <c r="B52" s="618" t="s">
        <v>238</v>
      </c>
      <c r="C52" s="626">
        <f>+C8+C9+C35+C51</f>
        <v>15191476507</v>
      </c>
      <c r="D52" s="609">
        <f>+D8+D9+D35+D51</f>
        <v>12367156323</v>
      </c>
      <c r="E52" s="626">
        <f aca="true" t="shared" si="10" ref="E52:N52">+E8+E9+E35+E51</f>
        <v>134440003</v>
      </c>
      <c r="F52" s="609">
        <f t="shared" si="10"/>
        <v>28014442</v>
      </c>
      <c r="G52" s="626">
        <f t="shared" si="10"/>
        <v>21230105</v>
      </c>
      <c r="H52" s="609">
        <f t="shared" si="10"/>
        <v>7661267</v>
      </c>
      <c r="I52" s="626">
        <f t="shared" si="10"/>
        <v>169011103</v>
      </c>
      <c r="J52" s="609">
        <f t="shared" si="10"/>
        <v>22973489</v>
      </c>
      <c r="K52" s="626">
        <f t="shared" si="10"/>
        <v>66378071</v>
      </c>
      <c r="L52" s="609">
        <f t="shared" si="10"/>
        <v>992307</v>
      </c>
      <c r="M52" s="626">
        <f t="shared" si="10"/>
        <v>10898999</v>
      </c>
      <c r="N52" s="745">
        <f t="shared" si="10"/>
        <v>0</v>
      </c>
      <c r="O52" s="626"/>
      <c r="P52" s="609"/>
      <c r="Q52" s="752">
        <f t="shared" si="1"/>
        <v>15593434788</v>
      </c>
      <c r="R52" s="602">
        <f t="shared" si="2"/>
        <v>12426797828</v>
      </c>
    </row>
    <row r="53" spans="1:18" s="399" customFormat="1" ht="15">
      <c r="A53" s="400" t="s">
        <v>577</v>
      </c>
      <c r="B53" s="617" t="s">
        <v>239</v>
      </c>
      <c r="C53" s="627"/>
      <c r="D53" s="607">
        <v>637411</v>
      </c>
      <c r="E53" s="627"/>
      <c r="F53" s="607"/>
      <c r="G53" s="627"/>
      <c r="H53" s="607"/>
      <c r="I53" s="627"/>
      <c r="J53" s="607">
        <v>1718945</v>
      </c>
      <c r="K53" s="627"/>
      <c r="L53" s="607"/>
      <c r="M53" s="627"/>
      <c r="N53" s="746"/>
      <c r="O53" s="627"/>
      <c r="P53" s="607"/>
      <c r="Q53" s="752">
        <f t="shared" si="1"/>
        <v>0</v>
      </c>
      <c r="R53" s="602">
        <f t="shared" si="2"/>
        <v>2356356</v>
      </c>
    </row>
    <row r="54" spans="1:18" s="399" customFormat="1" ht="15">
      <c r="A54" s="400" t="s">
        <v>578</v>
      </c>
      <c r="B54" s="617" t="s">
        <v>240</v>
      </c>
      <c r="C54" s="627"/>
      <c r="D54" s="607"/>
      <c r="E54" s="627"/>
      <c r="F54" s="607"/>
      <c r="G54" s="627"/>
      <c r="H54" s="607"/>
      <c r="I54" s="627"/>
      <c r="J54" s="607"/>
      <c r="K54" s="627"/>
      <c r="L54" s="607"/>
      <c r="M54" s="627"/>
      <c r="N54" s="746"/>
      <c r="O54" s="627"/>
      <c r="P54" s="607"/>
      <c r="Q54" s="752">
        <f t="shared" si="1"/>
        <v>0</v>
      </c>
      <c r="R54" s="602">
        <f t="shared" si="2"/>
        <v>0</v>
      </c>
    </row>
    <row r="55" spans="1:18" s="399" customFormat="1" ht="15">
      <c r="A55" s="572" t="s">
        <v>579</v>
      </c>
      <c r="B55" s="618" t="s">
        <v>241</v>
      </c>
      <c r="C55" s="626"/>
      <c r="D55" s="609">
        <f>+D53+D54</f>
        <v>637411</v>
      </c>
      <c r="E55" s="626"/>
      <c r="F55" s="609">
        <f aca="true" t="shared" si="11" ref="F55:N55">+F53+F54</f>
        <v>0</v>
      </c>
      <c r="G55" s="626">
        <f t="shared" si="11"/>
        <v>0</v>
      </c>
      <c r="H55" s="609">
        <f t="shared" si="11"/>
        <v>0</v>
      </c>
      <c r="I55" s="626">
        <f t="shared" si="11"/>
        <v>0</v>
      </c>
      <c r="J55" s="609">
        <f t="shared" si="11"/>
        <v>1718945</v>
      </c>
      <c r="K55" s="626">
        <f t="shared" si="11"/>
        <v>0</v>
      </c>
      <c r="L55" s="609">
        <f t="shared" si="11"/>
        <v>0</v>
      </c>
      <c r="M55" s="626">
        <f t="shared" si="11"/>
        <v>0</v>
      </c>
      <c r="N55" s="745">
        <f t="shared" si="11"/>
        <v>0</v>
      </c>
      <c r="O55" s="626"/>
      <c r="P55" s="609"/>
      <c r="Q55" s="752">
        <f t="shared" si="1"/>
        <v>0</v>
      </c>
      <c r="R55" s="602">
        <f t="shared" si="2"/>
        <v>2356356</v>
      </c>
    </row>
    <row r="56" spans="1:18" s="399" customFormat="1" ht="15">
      <c r="A56" s="400" t="s">
        <v>580</v>
      </c>
      <c r="B56" s="617" t="s">
        <v>242</v>
      </c>
      <c r="C56" s="627"/>
      <c r="D56" s="607"/>
      <c r="E56" s="627"/>
      <c r="F56" s="607"/>
      <c r="G56" s="627"/>
      <c r="H56" s="607"/>
      <c r="I56" s="627"/>
      <c r="J56" s="607"/>
      <c r="K56" s="627"/>
      <c r="L56" s="607"/>
      <c r="M56" s="627"/>
      <c r="N56" s="746"/>
      <c r="O56" s="627"/>
      <c r="P56" s="607"/>
      <c r="Q56" s="752">
        <f t="shared" si="1"/>
        <v>0</v>
      </c>
      <c r="R56" s="602">
        <f t="shared" si="2"/>
        <v>0</v>
      </c>
    </row>
    <row r="57" spans="1:18" s="399" customFormat="1" ht="15">
      <c r="A57" s="400" t="s">
        <v>581</v>
      </c>
      <c r="B57" s="617" t="s">
        <v>243</v>
      </c>
      <c r="C57" s="627"/>
      <c r="D57" s="607">
        <v>298455</v>
      </c>
      <c r="E57" s="627"/>
      <c r="F57" s="607">
        <v>144160</v>
      </c>
      <c r="G57" s="627" t="s">
        <v>684</v>
      </c>
      <c r="H57" s="607">
        <v>3890</v>
      </c>
      <c r="I57" s="627" t="s">
        <v>684</v>
      </c>
      <c r="J57" s="607">
        <v>260005</v>
      </c>
      <c r="K57" s="627" t="s">
        <v>684</v>
      </c>
      <c r="L57" s="607">
        <v>106265</v>
      </c>
      <c r="M57" s="627" t="s">
        <v>684</v>
      </c>
      <c r="N57" s="746">
        <v>140915</v>
      </c>
      <c r="O57" s="627">
        <v>0</v>
      </c>
      <c r="P57" s="607"/>
      <c r="Q57" s="752"/>
      <c r="R57" s="602">
        <f t="shared" si="2"/>
        <v>953690</v>
      </c>
    </row>
    <row r="58" spans="1:18" s="399" customFormat="1" ht="15">
      <c r="A58" s="400" t="s">
        <v>582</v>
      </c>
      <c r="B58" s="617" t="s">
        <v>244</v>
      </c>
      <c r="C58" s="627"/>
      <c r="D58" s="607">
        <v>753558451</v>
      </c>
      <c r="E58" s="627"/>
      <c r="F58" s="607">
        <v>805557</v>
      </c>
      <c r="G58" s="627"/>
      <c r="H58" s="607">
        <v>2247071</v>
      </c>
      <c r="I58" s="627"/>
      <c r="J58" s="607">
        <v>33864159</v>
      </c>
      <c r="K58" s="627"/>
      <c r="L58" s="607">
        <v>19674827</v>
      </c>
      <c r="M58" s="627"/>
      <c r="N58" s="746">
        <v>302496</v>
      </c>
      <c r="O58" s="627"/>
      <c r="P58" s="607">
        <v>240598</v>
      </c>
      <c r="Q58" s="752">
        <f t="shared" si="1"/>
        <v>0</v>
      </c>
      <c r="R58" s="602">
        <f t="shared" si="2"/>
        <v>810693159</v>
      </c>
    </row>
    <row r="59" spans="1:18" s="399" customFormat="1" ht="15">
      <c r="A59" s="400" t="s">
        <v>583</v>
      </c>
      <c r="B59" s="617" t="s">
        <v>245</v>
      </c>
      <c r="C59" s="627"/>
      <c r="D59" s="607"/>
      <c r="E59" s="627"/>
      <c r="F59" s="607"/>
      <c r="G59" s="627"/>
      <c r="H59" s="607"/>
      <c r="I59" s="627"/>
      <c r="J59" s="607"/>
      <c r="K59" s="627"/>
      <c r="L59" s="607"/>
      <c r="M59" s="627"/>
      <c r="N59" s="746"/>
      <c r="O59" s="627"/>
      <c r="P59" s="607"/>
      <c r="Q59" s="752">
        <f t="shared" si="1"/>
        <v>0</v>
      </c>
      <c r="R59" s="602">
        <f t="shared" si="2"/>
        <v>0</v>
      </c>
    </row>
    <row r="60" spans="1:18" s="399" customFormat="1" ht="15">
      <c r="A60" s="572" t="s">
        <v>584</v>
      </c>
      <c r="B60" s="618" t="s">
        <v>246</v>
      </c>
      <c r="C60" s="626"/>
      <c r="D60" s="609">
        <f>+D56+D57+D58+D59</f>
        <v>753856906</v>
      </c>
      <c r="E60" s="626"/>
      <c r="F60" s="609">
        <f aca="true" t="shared" si="12" ref="F60:P60">+F56+F57+F58+F59</f>
        <v>949717</v>
      </c>
      <c r="G60" s="626"/>
      <c r="H60" s="609">
        <f t="shared" si="12"/>
        <v>2250961</v>
      </c>
      <c r="I60" s="626"/>
      <c r="J60" s="609">
        <f t="shared" si="12"/>
        <v>34124164</v>
      </c>
      <c r="K60" s="609"/>
      <c r="L60" s="609">
        <f t="shared" si="12"/>
        <v>19781092</v>
      </c>
      <c r="M60" s="609"/>
      <c r="N60" s="745">
        <f t="shared" si="12"/>
        <v>443411</v>
      </c>
      <c r="O60" s="626">
        <f t="shared" si="12"/>
        <v>0</v>
      </c>
      <c r="P60" s="609">
        <f t="shared" si="12"/>
        <v>240598</v>
      </c>
      <c r="Q60" s="752"/>
      <c r="R60" s="602">
        <f t="shared" si="2"/>
        <v>811646849</v>
      </c>
    </row>
    <row r="61" spans="1:18" s="399" customFormat="1" ht="15">
      <c r="A61" s="400" t="s">
        <v>585</v>
      </c>
      <c r="B61" s="617" t="s">
        <v>247</v>
      </c>
      <c r="C61" s="627"/>
      <c r="D61" s="607">
        <v>127299558</v>
      </c>
      <c r="E61" s="627"/>
      <c r="F61" s="607">
        <v>75830</v>
      </c>
      <c r="G61" s="627"/>
      <c r="H61" s="607"/>
      <c r="I61" s="627"/>
      <c r="J61" s="607">
        <v>6642397</v>
      </c>
      <c r="K61" s="627"/>
      <c r="L61" s="607">
        <v>154</v>
      </c>
      <c r="M61" s="627"/>
      <c r="N61" s="746"/>
      <c r="O61" s="627"/>
      <c r="P61" s="607"/>
      <c r="Q61" s="752">
        <f t="shared" si="1"/>
        <v>0</v>
      </c>
      <c r="R61" s="602">
        <f t="shared" si="2"/>
        <v>134017939</v>
      </c>
    </row>
    <row r="62" spans="1:18" s="399" customFormat="1" ht="15">
      <c r="A62" s="400" t="s">
        <v>586</v>
      </c>
      <c r="B62" s="617" t="s">
        <v>248</v>
      </c>
      <c r="C62" s="627"/>
      <c r="D62" s="607"/>
      <c r="E62" s="627"/>
      <c r="F62" s="607">
        <v>146017</v>
      </c>
      <c r="G62" s="627"/>
      <c r="H62" s="607"/>
      <c r="I62" s="627"/>
      <c r="J62" s="607">
        <v>33331</v>
      </c>
      <c r="K62" s="627"/>
      <c r="L62" s="607"/>
      <c r="M62" s="627"/>
      <c r="N62" s="746"/>
      <c r="O62" s="627"/>
      <c r="P62" s="607"/>
      <c r="Q62" s="752">
        <f t="shared" si="1"/>
        <v>0</v>
      </c>
      <c r="R62" s="602">
        <f t="shared" si="2"/>
        <v>179348</v>
      </c>
    </row>
    <row r="63" spans="1:18" s="399" customFormat="1" ht="15">
      <c r="A63" s="400" t="s">
        <v>587</v>
      </c>
      <c r="B63" s="617" t="s">
        <v>249</v>
      </c>
      <c r="C63" s="627"/>
      <c r="D63" s="607">
        <v>49440771</v>
      </c>
      <c r="E63" s="627"/>
      <c r="F63" s="607">
        <v>736959</v>
      </c>
      <c r="G63" s="627"/>
      <c r="H63" s="607">
        <v>383356</v>
      </c>
      <c r="I63" s="627"/>
      <c r="J63" s="607">
        <v>5477451</v>
      </c>
      <c r="K63" s="627"/>
      <c r="L63" s="607">
        <v>754164</v>
      </c>
      <c r="M63" s="627"/>
      <c r="N63" s="746">
        <v>3735985</v>
      </c>
      <c r="O63" s="627"/>
      <c r="P63" s="607"/>
      <c r="Q63" s="752">
        <f t="shared" si="1"/>
        <v>0</v>
      </c>
      <c r="R63" s="602">
        <f t="shared" si="2"/>
        <v>60528686</v>
      </c>
    </row>
    <row r="64" spans="1:18" s="399" customFormat="1" ht="15">
      <c r="A64" s="572" t="s">
        <v>588</v>
      </c>
      <c r="B64" s="618" t="s">
        <v>250</v>
      </c>
      <c r="C64" s="626"/>
      <c r="D64" s="609">
        <f>+D61+D62+D63</f>
        <v>176740329</v>
      </c>
      <c r="E64" s="626"/>
      <c r="F64" s="609">
        <f aca="true" t="shared" si="13" ref="F64:N64">+F61+F62+F63</f>
        <v>958806</v>
      </c>
      <c r="G64" s="626"/>
      <c r="H64" s="609">
        <f t="shared" si="13"/>
        <v>383356</v>
      </c>
      <c r="I64" s="626">
        <f t="shared" si="13"/>
        <v>0</v>
      </c>
      <c r="J64" s="609">
        <f t="shared" si="13"/>
        <v>12153179</v>
      </c>
      <c r="K64" s="626"/>
      <c r="L64" s="609">
        <f t="shared" si="13"/>
        <v>754318</v>
      </c>
      <c r="M64" s="626"/>
      <c r="N64" s="745">
        <f t="shared" si="13"/>
        <v>3735985</v>
      </c>
      <c r="O64" s="626"/>
      <c r="P64" s="609"/>
      <c r="Q64" s="752">
        <f t="shared" si="1"/>
        <v>0</v>
      </c>
      <c r="R64" s="602">
        <f t="shared" si="2"/>
        <v>194725973</v>
      </c>
    </row>
    <row r="65" spans="1:18" s="399" customFormat="1" ht="15">
      <c r="A65" s="400" t="s">
        <v>589</v>
      </c>
      <c r="B65" s="617" t="s">
        <v>251</v>
      </c>
      <c r="C65" s="627"/>
      <c r="D65" s="607"/>
      <c r="E65" s="627"/>
      <c r="F65" s="607"/>
      <c r="G65" s="627"/>
      <c r="H65" s="607"/>
      <c r="I65" s="627"/>
      <c r="J65" s="607"/>
      <c r="K65" s="627"/>
      <c r="L65" s="607"/>
      <c r="M65" s="627"/>
      <c r="N65" s="746"/>
      <c r="O65" s="627"/>
      <c r="P65" s="607"/>
      <c r="Q65" s="752">
        <f t="shared" si="1"/>
        <v>0</v>
      </c>
      <c r="R65" s="602">
        <f t="shared" si="2"/>
        <v>0</v>
      </c>
    </row>
    <row r="66" spans="1:18" s="399" customFormat="1" ht="20.25">
      <c r="A66" s="400" t="s">
        <v>590</v>
      </c>
      <c r="B66" s="617" t="s">
        <v>252</v>
      </c>
      <c r="C66" s="627"/>
      <c r="D66" s="607"/>
      <c r="E66" s="627"/>
      <c r="F66" s="607"/>
      <c r="G66" s="627"/>
      <c r="H66" s="607"/>
      <c r="I66" s="627"/>
      <c r="J66" s="607"/>
      <c r="K66" s="627"/>
      <c r="L66" s="607"/>
      <c r="M66" s="627"/>
      <c r="N66" s="746"/>
      <c r="O66" s="627"/>
      <c r="P66" s="607"/>
      <c r="Q66" s="752">
        <f t="shared" si="1"/>
        <v>0</v>
      </c>
      <c r="R66" s="602">
        <f t="shared" si="2"/>
        <v>0</v>
      </c>
    </row>
    <row r="67" spans="1:18" s="399" customFormat="1" ht="15">
      <c r="A67" s="572" t="s">
        <v>591</v>
      </c>
      <c r="B67" s="618" t="s">
        <v>253</v>
      </c>
      <c r="C67" s="626"/>
      <c r="D67" s="609"/>
      <c r="E67" s="626"/>
      <c r="F67" s="609">
        <v>269000</v>
      </c>
      <c r="G67" s="626"/>
      <c r="H67" s="609"/>
      <c r="I67" s="626">
        <f>+I65+I66</f>
        <v>0</v>
      </c>
      <c r="J67" s="609"/>
      <c r="K67" s="626"/>
      <c r="L67" s="609">
        <v>980000</v>
      </c>
      <c r="M67" s="626"/>
      <c r="N67" s="745"/>
      <c r="O67" s="626"/>
      <c r="P67" s="609"/>
      <c r="Q67" s="752">
        <f t="shared" si="1"/>
        <v>0</v>
      </c>
      <c r="R67" s="602">
        <f t="shared" si="2"/>
        <v>1249000</v>
      </c>
    </row>
    <row r="68" spans="1:18" s="399" customFormat="1" ht="15.75" thickBot="1">
      <c r="A68" s="572" t="s">
        <v>592</v>
      </c>
      <c r="B68" s="618" t="s">
        <v>254</v>
      </c>
      <c r="C68" s="628"/>
      <c r="D68" s="610">
        <v>151531</v>
      </c>
      <c r="E68" s="628"/>
      <c r="F68" s="610"/>
      <c r="G68" s="628"/>
      <c r="H68" s="610"/>
      <c r="I68" s="632"/>
      <c r="J68" s="633">
        <v>3251556</v>
      </c>
      <c r="K68" s="628"/>
      <c r="L68" s="610">
        <v>248444</v>
      </c>
      <c r="M68" s="628"/>
      <c r="N68" s="747"/>
      <c r="O68" s="628"/>
      <c r="P68" s="610"/>
      <c r="Q68" s="752">
        <f t="shared" si="1"/>
        <v>0</v>
      </c>
      <c r="R68" s="602">
        <f t="shared" si="2"/>
        <v>3651531</v>
      </c>
    </row>
    <row r="69" spans="1:18" s="399" customFormat="1" ht="15.75" thickBot="1">
      <c r="A69" s="611" t="s">
        <v>593</v>
      </c>
      <c r="B69" s="619" t="s">
        <v>255</v>
      </c>
      <c r="C69" s="629">
        <f>+C52+C55+C60+C64+C67+C68</f>
        <v>15191476507</v>
      </c>
      <c r="D69" s="612">
        <f>+D52+D55+D60+D64+D67+D68</f>
        <v>13298542500</v>
      </c>
      <c r="E69" s="629">
        <f aca="true" t="shared" si="14" ref="E69:R69">+E52+E55+E60+E64+E67+E68</f>
        <v>134440003</v>
      </c>
      <c r="F69" s="612">
        <f t="shared" si="14"/>
        <v>30191965</v>
      </c>
      <c r="G69" s="629">
        <f t="shared" si="14"/>
        <v>21230105</v>
      </c>
      <c r="H69" s="612">
        <f t="shared" si="14"/>
        <v>10295584</v>
      </c>
      <c r="I69" s="630">
        <f t="shared" si="14"/>
        <v>169011103</v>
      </c>
      <c r="J69" s="631">
        <f t="shared" si="14"/>
        <v>74221333</v>
      </c>
      <c r="K69" s="629">
        <f t="shared" si="14"/>
        <v>66378071</v>
      </c>
      <c r="L69" s="612">
        <f t="shared" si="14"/>
        <v>22756161</v>
      </c>
      <c r="M69" s="629">
        <f t="shared" si="14"/>
        <v>10898999</v>
      </c>
      <c r="N69" s="748">
        <f t="shared" si="14"/>
        <v>4179396</v>
      </c>
      <c r="O69" s="751">
        <f t="shared" si="14"/>
        <v>0</v>
      </c>
      <c r="P69" s="612">
        <f t="shared" si="14"/>
        <v>240598</v>
      </c>
      <c r="Q69" s="751">
        <f t="shared" si="14"/>
        <v>15593434788</v>
      </c>
      <c r="R69" s="612">
        <f t="shared" si="14"/>
        <v>13440427537</v>
      </c>
    </row>
    <row r="70" spans="1:4" ht="15">
      <c r="A70" s="402"/>
      <c r="C70" s="403"/>
      <c r="D70" s="403"/>
    </row>
    <row r="71" spans="1:4" ht="15">
      <c r="A71" s="402"/>
      <c r="C71" s="403"/>
      <c r="D71" s="403"/>
    </row>
    <row r="72" spans="1:4" ht="15">
      <c r="A72" s="404"/>
      <c r="C72" s="403"/>
      <c r="D72" s="403"/>
    </row>
    <row r="73" spans="1:4" ht="15">
      <c r="A73" s="1006"/>
      <c r="B73" s="1006"/>
      <c r="C73" s="1006"/>
      <c r="D73" s="1006"/>
    </row>
    <row r="74" spans="1:4" ht="15">
      <c r="A74" s="1006"/>
      <c r="B74" s="1006"/>
      <c r="C74" s="1006"/>
      <c r="D74" s="1006"/>
    </row>
  </sheetData>
  <sheetProtection/>
  <mergeCells count="44">
    <mergeCell ref="A1:R1"/>
    <mergeCell ref="A3:A6"/>
    <mergeCell ref="K3:L3"/>
    <mergeCell ref="M3:N3"/>
    <mergeCell ref="Q3:R3"/>
    <mergeCell ref="E2:F2"/>
    <mergeCell ref="G2:H2"/>
    <mergeCell ref="I2:J2"/>
    <mergeCell ref="K2:L2"/>
    <mergeCell ref="M2:N2"/>
    <mergeCell ref="Q2:R2"/>
    <mergeCell ref="E6:F6"/>
    <mergeCell ref="G6:H6"/>
    <mergeCell ref="I6:J6"/>
    <mergeCell ref="K6:L6"/>
    <mergeCell ref="M6:N6"/>
    <mergeCell ref="Q6:R6"/>
    <mergeCell ref="K4:K5"/>
    <mergeCell ref="L4:L5"/>
    <mergeCell ref="M4:M5"/>
    <mergeCell ref="Q4:Q5"/>
    <mergeCell ref="R4:R5"/>
    <mergeCell ref="E4:E5"/>
    <mergeCell ref="F4:F5"/>
    <mergeCell ref="G4:G5"/>
    <mergeCell ref="H4:H5"/>
    <mergeCell ref="I4:I5"/>
    <mergeCell ref="J4:J5"/>
    <mergeCell ref="E3:F3"/>
    <mergeCell ref="G3:H3"/>
    <mergeCell ref="I3:J3"/>
    <mergeCell ref="A73:D73"/>
    <mergeCell ref="A74:D74"/>
    <mergeCell ref="N4:N5"/>
    <mergeCell ref="O3:P3"/>
    <mergeCell ref="O4:O5"/>
    <mergeCell ref="P4:P5"/>
    <mergeCell ref="O6:P6"/>
    <mergeCell ref="C2:D2"/>
    <mergeCell ref="B4:B6"/>
    <mergeCell ref="C4:C5"/>
    <mergeCell ref="D4:D5"/>
    <mergeCell ref="C6:D6"/>
    <mergeCell ref="C3:D3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landscape" paperSize="8" scale="52" r:id="rId1"/>
  <headerFooter alignWithMargins="0">
    <oddHeader>&amp;L&amp;"Times New Roman,Félkövér dőlt"Nagykáta Város Önkormányzata&amp;R&amp;"Times New Roman,Félkövér dőlt"7.1. tájékoztató tábla a 7/2020. (VII.1.) önkormányzati rendelethez</oddHeader>
    <oddFooter>&amp;C&amp;P</oddFooter>
  </headerFooter>
  <rowBreaks count="1" manualBreakCount="1">
    <brk id="69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27"/>
  <sheetViews>
    <sheetView workbookViewId="0" topLeftCell="A7">
      <selection activeCell="J25" sqref="J25"/>
    </sheetView>
  </sheetViews>
  <sheetFormatPr defaultColWidth="9.375" defaultRowHeight="12.75"/>
  <cols>
    <col min="1" max="1" width="66.625" style="163" customWidth="1"/>
    <col min="2" max="2" width="6.125" style="167" customWidth="1"/>
    <col min="3" max="3" width="24.50390625" style="405" customWidth="1"/>
    <col min="4" max="5" width="21.125" style="405" customWidth="1"/>
    <col min="6" max="6" width="24.375" style="405" customWidth="1"/>
    <col min="7" max="7" width="20.125" style="405" customWidth="1"/>
    <col min="8" max="9" width="18.75390625" style="405" customWidth="1"/>
    <col min="10" max="10" width="22.75390625" style="405" customWidth="1"/>
    <col min="11" max="16384" width="9.375" style="405" customWidth="1"/>
  </cols>
  <sheetData>
    <row r="1" spans="1:10" ht="32.25" customHeight="1">
      <c r="A1" s="1031" t="s">
        <v>256</v>
      </c>
      <c r="B1" s="1032"/>
      <c r="C1" s="1032"/>
      <c r="D1" s="1032"/>
      <c r="E1" s="1032"/>
      <c r="F1" s="1032"/>
      <c r="G1" s="1032"/>
      <c r="H1" s="1032"/>
      <c r="I1" s="1032"/>
      <c r="J1" s="1032"/>
    </row>
    <row r="2" spans="1:10" ht="15">
      <c r="A2" s="1031" t="str">
        <f>+CONCATENATE(LEFT(ÖSSZEFÜGGÉSEK!A4,4),". év")</f>
        <v>2019. év</v>
      </c>
      <c r="B2" s="1031"/>
      <c r="C2" s="1031"/>
      <c r="D2" s="1031"/>
      <c r="E2" s="1031"/>
      <c r="F2" s="1031"/>
      <c r="G2" s="1031"/>
      <c r="H2" s="1031"/>
      <c r="I2" s="1031"/>
      <c r="J2" s="1031"/>
    </row>
    <row r="4" spans="2:10" ht="13.5" thickBot="1">
      <c r="B4" s="1028"/>
      <c r="C4" s="1028"/>
      <c r="D4" s="1028"/>
      <c r="E4" s="1028"/>
      <c r="F4" s="1028"/>
      <c r="G4" s="1028"/>
      <c r="H4" s="1028" t="s">
        <v>868</v>
      </c>
      <c r="I4" s="1028"/>
      <c r="J4" s="1028"/>
    </row>
    <row r="5" spans="1:10" ht="85.5" customHeight="1" thickBot="1">
      <c r="A5" s="1033" t="s">
        <v>257</v>
      </c>
      <c r="B5" s="1036" t="s">
        <v>214</v>
      </c>
      <c r="C5" s="573" t="s">
        <v>677</v>
      </c>
      <c r="D5" s="573" t="s">
        <v>666</v>
      </c>
      <c r="E5" s="574" t="s">
        <v>865</v>
      </c>
      <c r="F5" s="574" t="s">
        <v>866</v>
      </c>
      <c r="G5" s="573" t="s">
        <v>823</v>
      </c>
      <c r="H5" s="575" t="s">
        <v>867</v>
      </c>
      <c r="I5" s="575" t="s">
        <v>909</v>
      </c>
      <c r="J5" s="576" t="s">
        <v>38</v>
      </c>
    </row>
    <row r="6" spans="1:10" s="164" customFormat="1" ht="31.5" customHeight="1">
      <c r="A6" s="1034"/>
      <c r="B6" s="1037"/>
      <c r="C6" s="1029" t="s">
        <v>258</v>
      </c>
      <c r="D6" s="1029" t="s">
        <v>258</v>
      </c>
      <c r="E6" s="1029" t="s">
        <v>258</v>
      </c>
      <c r="F6" s="1029" t="s">
        <v>258</v>
      </c>
      <c r="G6" s="1029" t="s">
        <v>258</v>
      </c>
      <c r="H6" s="1023" t="s">
        <v>258</v>
      </c>
      <c r="I6" s="1023" t="s">
        <v>258</v>
      </c>
      <c r="J6" s="1025" t="s">
        <v>258</v>
      </c>
    </row>
    <row r="7" spans="1:10" s="164" customFormat="1" ht="12.75" customHeight="1">
      <c r="A7" s="1035"/>
      <c r="B7" s="1038"/>
      <c r="C7" s="1030"/>
      <c r="D7" s="1030"/>
      <c r="E7" s="1030"/>
      <c r="F7" s="1030"/>
      <c r="G7" s="1030"/>
      <c r="H7" s="1024"/>
      <c r="I7" s="1024"/>
      <c r="J7" s="1026"/>
    </row>
    <row r="8" spans="1:10" s="165" customFormat="1" ht="15.75" thickBot="1">
      <c r="A8" s="577" t="s">
        <v>372</v>
      </c>
      <c r="B8" s="578" t="s">
        <v>373</v>
      </c>
      <c r="C8" s="579" t="s">
        <v>374</v>
      </c>
      <c r="D8" s="579" t="s">
        <v>374</v>
      </c>
      <c r="E8" s="579" t="s">
        <v>374</v>
      </c>
      <c r="F8" s="579" t="s">
        <v>374</v>
      </c>
      <c r="G8" s="579" t="s">
        <v>374</v>
      </c>
      <c r="H8" s="580" t="s">
        <v>374</v>
      </c>
      <c r="I8" s="580" t="s">
        <v>374</v>
      </c>
      <c r="J8" s="581" t="s">
        <v>374</v>
      </c>
    </row>
    <row r="9" spans="1:10" ht="15.75" customHeight="1">
      <c r="A9" s="582" t="s">
        <v>595</v>
      </c>
      <c r="B9" s="583" t="s">
        <v>218</v>
      </c>
      <c r="C9" s="584">
        <v>9762462078</v>
      </c>
      <c r="D9" s="584">
        <v>194497451</v>
      </c>
      <c r="E9" s="584">
        <v>82491344</v>
      </c>
      <c r="F9" s="584">
        <v>250523184</v>
      </c>
      <c r="G9" s="584">
        <v>412264530</v>
      </c>
      <c r="H9" s="585">
        <v>82652849</v>
      </c>
      <c r="I9" s="585"/>
      <c r="J9" s="586">
        <f>C9+D9+E9+F9+G9+H9+I9</f>
        <v>10784891436</v>
      </c>
    </row>
    <row r="10" spans="1:10" ht="15.75" customHeight="1">
      <c r="A10" s="582" t="s">
        <v>596</v>
      </c>
      <c r="B10" s="587" t="s">
        <v>219</v>
      </c>
      <c r="C10" s="584">
        <v>558325807</v>
      </c>
      <c r="D10" s="584">
        <v>-8652005</v>
      </c>
      <c r="E10" s="584">
        <v>-68458972</v>
      </c>
      <c r="F10" s="584">
        <v>-155056822</v>
      </c>
      <c r="G10" s="584">
        <v>-377119436</v>
      </c>
      <c r="H10" s="585">
        <v>-74253404</v>
      </c>
      <c r="I10" s="585"/>
      <c r="J10" s="586">
        <f aca="true" t="shared" si="0" ref="J10:J22">C10+D10+E10+F10+G10+H10+I10</f>
        <v>-125214832</v>
      </c>
    </row>
    <row r="11" spans="1:10" ht="15.75" customHeight="1">
      <c r="A11" s="582" t="s">
        <v>597</v>
      </c>
      <c r="B11" s="587" t="s">
        <v>220</v>
      </c>
      <c r="C11" s="584">
        <v>61662072</v>
      </c>
      <c r="D11" s="584">
        <v>160405</v>
      </c>
      <c r="E11" s="584">
        <v>15815</v>
      </c>
      <c r="F11" s="584"/>
      <c r="G11" s="584"/>
      <c r="H11" s="585"/>
      <c r="I11" s="585"/>
      <c r="J11" s="586">
        <f t="shared" si="0"/>
        <v>61838292</v>
      </c>
    </row>
    <row r="12" spans="1:10" ht="15.75" customHeight="1">
      <c r="A12" s="582" t="s">
        <v>598</v>
      </c>
      <c r="B12" s="587" t="s">
        <v>221</v>
      </c>
      <c r="C12" s="588">
        <v>-770543081</v>
      </c>
      <c r="D12" s="588">
        <v>-161970886</v>
      </c>
      <c r="E12" s="588">
        <v>-13728948</v>
      </c>
      <c r="F12" s="588">
        <v>-71008832</v>
      </c>
      <c r="G12" s="588">
        <v>-37139188</v>
      </c>
      <c r="H12" s="589">
        <v>-26986105</v>
      </c>
      <c r="I12" s="589"/>
      <c r="J12" s="586">
        <f t="shared" si="0"/>
        <v>-1081377040</v>
      </c>
    </row>
    <row r="13" spans="1:10" ht="15.75" customHeight="1">
      <c r="A13" s="582" t="s">
        <v>599</v>
      </c>
      <c r="B13" s="587" t="s">
        <v>222</v>
      </c>
      <c r="C13" s="588"/>
      <c r="D13" s="588"/>
      <c r="E13" s="588"/>
      <c r="F13" s="588"/>
      <c r="G13" s="588"/>
      <c r="H13" s="589"/>
      <c r="I13" s="589"/>
      <c r="J13" s="586">
        <f t="shared" si="0"/>
        <v>0</v>
      </c>
    </row>
    <row r="14" spans="1:10" ht="15.75" customHeight="1">
      <c r="A14" s="582" t="s">
        <v>600</v>
      </c>
      <c r="B14" s="587" t="s">
        <v>223</v>
      </c>
      <c r="C14" s="588">
        <v>325376376</v>
      </c>
      <c r="D14" s="588">
        <v>-8588857</v>
      </c>
      <c r="E14" s="588">
        <v>2716474</v>
      </c>
      <c r="F14" s="588">
        <v>12331449</v>
      </c>
      <c r="G14" s="588">
        <v>18010748</v>
      </c>
      <c r="H14" s="589">
        <v>-3453788</v>
      </c>
      <c r="I14" s="589">
        <v>-202765</v>
      </c>
      <c r="J14" s="586">
        <f t="shared" si="0"/>
        <v>346189637</v>
      </c>
    </row>
    <row r="15" spans="1:10" ht="15.75" customHeight="1">
      <c r="A15" s="582" t="s">
        <v>601</v>
      </c>
      <c r="B15" s="587" t="s">
        <v>224</v>
      </c>
      <c r="C15" s="590">
        <f aca="true" t="shared" si="1" ref="C15:H15">+C9+C10+C11+C12+C13+C14</f>
        <v>9937283252</v>
      </c>
      <c r="D15" s="590">
        <f t="shared" si="1"/>
        <v>15446108</v>
      </c>
      <c r="E15" s="590">
        <f t="shared" si="1"/>
        <v>3035713</v>
      </c>
      <c r="F15" s="590">
        <f t="shared" si="1"/>
        <v>36788979</v>
      </c>
      <c r="G15" s="590">
        <f t="shared" si="1"/>
        <v>16016654</v>
      </c>
      <c r="H15" s="591">
        <f t="shared" si="1"/>
        <v>-22040448</v>
      </c>
      <c r="I15" s="591">
        <f>+I9+I10+I11+I12+I13+I14</f>
        <v>-202765</v>
      </c>
      <c r="J15" s="592">
        <f t="shared" si="0"/>
        <v>9986327493</v>
      </c>
    </row>
    <row r="16" spans="1:10" ht="15.75" customHeight="1">
      <c r="A16" s="582" t="s">
        <v>643</v>
      </c>
      <c r="B16" s="587" t="s">
        <v>225</v>
      </c>
      <c r="C16" s="593">
        <v>20210867</v>
      </c>
      <c r="D16" s="593">
        <v>1654820</v>
      </c>
      <c r="E16" s="593">
        <v>353314</v>
      </c>
      <c r="F16" s="593">
        <v>1670259</v>
      </c>
      <c r="G16" s="593">
        <v>702431</v>
      </c>
      <c r="H16" s="594">
        <v>1421705</v>
      </c>
      <c r="I16" s="594">
        <v>8672</v>
      </c>
      <c r="J16" s="586">
        <f t="shared" si="0"/>
        <v>26022068</v>
      </c>
    </row>
    <row r="17" spans="1:10" ht="15.75" customHeight="1">
      <c r="A17" s="582" t="s">
        <v>602</v>
      </c>
      <c r="B17" s="587" t="s">
        <v>226</v>
      </c>
      <c r="C17" s="593">
        <v>36357283</v>
      </c>
      <c r="D17" s="593">
        <v>1843282</v>
      </c>
      <c r="E17" s="593">
        <v>83807</v>
      </c>
      <c r="F17" s="593">
        <v>9260699</v>
      </c>
      <c r="G17" s="593">
        <v>1646654</v>
      </c>
      <c r="H17" s="594">
        <v>1328031</v>
      </c>
      <c r="I17" s="594"/>
      <c r="J17" s="586">
        <f t="shared" si="0"/>
        <v>50519756</v>
      </c>
    </row>
    <row r="18" spans="1:10" ht="15.75" customHeight="1">
      <c r="A18" s="582" t="s">
        <v>603</v>
      </c>
      <c r="B18" s="587" t="s">
        <v>15</v>
      </c>
      <c r="C18" s="593">
        <v>74067602</v>
      </c>
      <c r="D18" s="593">
        <v>3000</v>
      </c>
      <c r="E18" s="593"/>
      <c r="F18" s="593">
        <v>9123581</v>
      </c>
      <c r="G18" s="593">
        <v>753780</v>
      </c>
      <c r="H18" s="594"/>
      <c r="I18" s="594"/>
      <c r="J18" s="586">
        <f t="shared" si="0"/>
        <v>83947963</v>
      </c>
    </row>
    <row r="19" spans="1:10" ht="15.75" customHeight="1">
      <c r="A19" s="582" t="s">
        <v>604</v>
      </c>
      <c r="B19" s="587" t="s">
        <v>16</v>
      </c>
      <c r="C19" s="590">
        <f aca="true" t="shared" si="2" ref="C19:H19">+C16+C17+C18</f>
        <v>130635752</v>
      </c>
      <c r="D19" s="590">
        <f t="shared" si="2"/>
        <v>3501102</v>
      </c>
      <c r="E19" s="590">
        <f t="shared" si="2"/>
        <v>437121</v>
      </c>
      <c r="F19" s="590">
        <f t="shared" si="2"/>
        <v>20054539</v>
      </c>
      <c r="G19" s="590">
        <f t="shared" si="2"/>
        <v>3102865</v>
      </c>
      <c r="H19" s="591">
        <f t="shared" si="2"/>
        <v>2749736</v>
      </c>
      <c r="I19" s="591">
        <f>+I16+I17+I18</f>
        <v>8672</v>
      </c>
      <c r="J19" s="592">
        <f t="shared" si="0"/>
        <v>160489787</v>
      </c>
    </row>
    <row r="20" spans="1:10" s="406" customFormat="1" ht="15.75" customHeight="1">
      <c r="A20" s="582" t="s">
        <v>605</v>
      </c>
      <c r="B20" s="587" t="s">
        <v>17</v>
      </c>
      <c r="C20" s="588"/>
      <c r="D20" s="588"/>
      <c r="E20" s="588"/>
      <c r="F20" s="588"/>
      <c r="G20" s="588"/>
      <c r="H20" s="589"/>
      <c r="I20" s="589"/>
      <c r="J20" s="586">
        <f t="shared" si="0"/>
        <v>0</v>
      </c>
    </row>
    <row r="21" spans="1:10" ht="15.75" customHeight="1">
      <c r="A21" s="582" t="s">
        <v>606</v>
      </c>
      <c r="B21" s="587" t="s">
        <v>18</v>
      </c>
      <c r="C21" s="595">
        <v>3230623496</v>
      </c>
      <c r="D21" s="595">
        <v>11244755</v>
      </c>
      <c r="E21" s="595">
        <v>6822750</v>
      </c>
      <c r="F21" s="595">
        <v>17377815</v>
      </c>
      <c r="G21" s="595">
        <v>3636642</v>
      </c>
      <c r="H21" s="596">
        <v>23470108</v>
      </c>
      <c r="I21" s="596">
        <v>434691</v>
      </c>
      <c r="J21" s="592">
        <f t="shared" si="0"/>
        <v>3293610257</v>
      </c>
    </row>
    <row r="22" spans="1:10" ht="15.75" customHeight="1" thickBot="1">
      <c r="A22" s="597" t="s">
        <v>607</v>
      </c>
      <c r="B22" s="598" t="s">
        <v>19</v>
      </c>
      <c r="C22" s="599">
        <f aca="true" t="shared" si="3" ref="C22:H22">+C15+C19+C20+C21</f>
        <v>13298542500</v>
      </c>
      <c r="D22" s="599">
        <f t="shared" si="3"/>
        <v>30191965</v>
      </c>
      <c r="E22" s="599">
        <f t="shared" si="3"/>
        <v>10295584</v>
      </c>
      <c r="F22" s="599">
        <f t="shared" si="3"/>
        <v>74221333</v>
      </c>
      <c r="G22" s="599">
        <f t="shared" si="3"/>
        <v>22756161</v>
      </c>
      <c r="H22" s="600">
        <f t="shared" si="3"/>
        <v>4179396</v>
      </c>
      <c r="I22" s="600">
        <f>+I15+I19+I20+I21</f>
        <v>240598</v>
      </c>
      <c r="J22" s="592">
        <f t="shared" si="0"/>
        <v>13440427537</v>
      </c>
    </row>
    <row r="23" spans="1:5" ht="15">
      <c r="A23" s="402"/>
      <c r="B23" s="404"/>
      <c r="C23" s="403"/>
      <c r="D23" s="403"/>
      <c r="E23" s="403"/>
    </row>
    <row r="24" spans="1:5" ht="15">
      <c r="A24" s="402"/>
      <c r="B24" s="404"/>
      <c r="C24" s="403"/>
      <c r="D24" s="403"/>
      <c r="E24" s="403"/>
    </row>
    <row r="25" spans="1:5" ht="15">
      <c r="A25" s="404"/>
      <c r="B25" s="404"/>
      <c r="C25" s="403"/>
      <c r="D25" s="403"/>
      <c r="E25" s="403"/>
    </row>
    <row r="26" spans="1:5" ht="15">
      <c r="A26" s="1027"/>
      <c r="B26" s="1027"/>
      <c r="C26" s="1027"/>
      <c r="D26" s="407"/>
      <c r="E26" s="407"/>
    </row>
    <row r="27" spans="1:5" ht="15">
      <c r="A27" s="1027"/>
      <c r="B27" s="1027"/>
      <c r="C27" s="1027"/>
      <c r="D27" s="407"/>
      <c r="E27" s="407"/>
    </row>
  </sheetData>
  <sheetProtection/>
  <mergeCells count="18">
    <mergeCell ref="A1:J1"/>
    <mergeCell ref="A2:J2"/>
    <mergeCell ref="D4:E4"/>
    <mergeCell ref="F4:G4"/>
    <mergeCell ref="H4:J4"/>
    <mergeCell ref="H6:H7"/>
    <mergeCell ref="A5:A7"/>
    <mergeCell ref="B5:B7"/>
    <mergeCell ref="D6:D7"/>
    <mergeCell ref="E6:E7"/>
    <mergeCell ref="I6:I7"/>
    <mergeCell ref="J6:J7"/>
    <mergeCell ref="A26:C26"/>
    <mergeCell ref="A27:C27"/>
    <mergeCell ref="B4:C4"/>
    <mergeCell ref="C6:C7"/>
    <mergeCell ref="F6:F7"/>
    <mergeCell ref="G6:G7"/>
  </mergeCells>
  <printOptions horizontalCentered="1"/>
  <pageMargins left="0.7874015748031497" right="0.7874015748031497" top="1.2598425196850394" bottom="0.984251968503937" header="0.7874015748031497" footer="0.7874015748031497"/>
  <pageSetup fitToHeight="1" fitToWidth="1" horizontalDpi="600" verticalDpi="600" orientation="landscape" paperSize="9" scale="59" r:id="rId1"/>
  <headerFooter alignWithMargins="0">
    <oddHeader>&amp;L&amp;"Times New Roman,Félkövér dőlt"Nagykáta Város Önkormányzata&amp;R&amp;"Times New Roman CE,Félkövér dőlt"7.2. tájékoztató tábla a 7/2020 (VII.1.)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30"/>
  <sheetViews>
    <sheetView workbookViewId="0" topLeftCell="A4">
      <selection activeCell="I19" sqref="I19"/>
    </sheetView>
  </sheetViews>
  <sheetFormatPr defaultColWidth="12.00390625" defaultRowHeight="12.75"/>
  <cols>
    <col min="1" max="1" width="58.75390625" style="158" customWidth="1"/>
    <col min="2" max="2" width="6.75390625" style="158" customWidth="1"/>
    <col min="3" max="10" width="16.75390625" style="158" customWidth="1"/>
    <col min="11" max="16384" width="12.00390625" style="158" customWidth="1"/>
  </cols>
  <sheetData>
    <row r="1" spans="1:10" ht="48" customHeight="1">
      <c r="A1" s="1045" t="str">
        <f>+CONCATENATE("VAGYONKIMUTATÁS",CHAR(10),"az érték nélkül nyilvántartott eszközökről",CHAR(10),LEFT(ÖSSZEFÜGGÉSEK!A4,4),".")</f>
        <v>VAGYONKIMUTATÁS
az érték nélkül nyilvántartott eszközökről
2019.</v>
      </c>
      <c r="B1" s="1045"/>
      <c r="C1" s="1045"/>
      <c r="D1" s="1045"/>
      <c r="E1" s="1045"/>
      <c r="F1" s="1045"/>
      <c r="G1" s="1045"/>
      <c r="H1" s="1045"/>
      <c r="I1" s="1045"/>
      <c r="J1" s="1045"/>
    </row>
    <row r="2" ht="15.75" thickBot="1"/>
    <row r="3" spans="1:10" ht="48.75" thickBot="1">
      <c r="A3" s="1041" t="s">
        <v>47</v>
      </c>
      <c r="B3" s="1043" t="s">
        <v>214</v>
      </c>
      <c r="C3" s="652" t="s">
        <v>677</v>
      </c>
      <c r="D3" s="568" t="s">
        <v>666</v>
      </c>
      <c r="E3" s="567" t="s">
        <v>865</v>
      </c>
      <c r="F3" s="567" t="s">
        <v>866</v>
      </c>
      <c r="G3" s="570" t="s">
        <v>823</v>
      </c>
      <c r="H3" s="763" t="s">
        <v>867</v>
      </c>
      <c r="I3" s="756" t="s">
        <v>909</v>
      </c>
      <c r="J3" s="571" t="s">
        <v>38</v>
      </c>
    </row>
    <row r="4" spans="1:10" ht="43.5" customHeight="1" thickBot="1">
      <c r="A4" s="1042"/>
      <c r="B4" s="1044"/>
      <c r="C4" s="653" t="s">
        <v>869</v>
      </c>
      <c r="D4" s="569" t="s">
        <v>869</v>
      </c>
      <c r="E4" s="569" t="s">
        <v>869</v>
      </c>
      <c r="F4" s="569" t="s">
        <v>869</v>
      </c>
      <c r="G4" s="635" t="s">
        <v>869</v>
      </c>
      <c r="H4" s="764" t="s">
        <v>869</v>
      </c>
      <c r="I4" s="757" t="s">
        <v>869</v>
      </c>
      <c r="J4" s="641" t="s">
        <v>869</v>
      </c>
    </row>
    <row r="5" spans="1:10" ht="15.75" thickBot="1">
      <c r="A5" s="647" t="s">
        <v>372</v>
      </c>
      <c r="B5" s="659" t="s">
        <v>373</v>
      </c>
      <c r="C5" s="654" t="s">
        <v>374</v>
      </c>
      <c r="D5" s="168" t="s">
        <v>374</v>
      </c>
      <c r="E5" s="168" t="s">
        <v>374</v>
      </c>
      <c r="F5" s="168" t="s">
        <v>374</v>
      </c>
      <c r="G5" s="636" t="s">
        <v>374</v>
      </c>
      <c r="H5" s="659" t="s">
        <v>374</v>
      </c>
      <c r="I5" s="758" t="s">
        <v>374</v>
      </c>
      <c r="J5" s="642" t="s">
        <v>374</v>
      </c>
    </row>
    <row r="6" spans="1:10" ht="15.75" customHeight="1">
      <c r="A6" s="648" t="s">
        <v>623</v>
      </c>
      <c r="B6" s="660" t="s">
        <v>6</v>
      </c>
      <c r="C6" s="655">
        <v>159100542</v>
      </c>
      <c r="D6" s="169">
        <v>106583736</v>
      </c>
      <c r="E6" s="169">
        <v>8904592</v>
      </c>
      <c r="F6" s="169">
        <v>125415065</v>
      </c>
      <c r="G6" s="637">
        <v>64940748</v>
      </c>
      <c r="H6" s="765">
        <v>10898999</v>
      </c>
      <c r="I6" s="759"/>
      <c r="J6" s="643">
        <f>SUM(C6:H6)</f>
        <v>475843682</v>
      </c>
    </row>
    <row r="7" spans="1:10" ht="15.75" customHeight="1">
      <c r="A7" s="648" t="s">
        <v>624</v>
      </c>
      <c r="B7" s="661" t="s">
        <v>7</v>
      </c>
      <c r="C7" s="656"/>
      <c r="D7" s="170"/>
      <c r="E7" s="170">
        <v>4292100</v>
      </c>
      <c r="F7" s="170">
        <v>849123</v>
      </c>
      <c r="G7" s="638">
        <v>6580705</v>
      </c>
      <c r="H7" s="766"/>
      <c r="I7" s="759"/>
      <c r="J7" s="643">
        <f aca="true" t="shared" si="0" ref="J7:J23">SUM(C7:H7)</f>
        <v>11721928</v>
      </c>
    </row>
    <row r="8" spans="1:10" ht="15.75" customHeight="1">
      <c r="A8" s="648" t="s">
        <v>625</v>
      </c>
      <c r="B8" s="661" t="s">
        <v>8</v>
      </c>
      <c r="C8" s="656">
        <v>18132608</v>
      </c>
      <c r="D8" s="170">
        <v>3593959</v>
      </c>
      <c r="E8" s="170"/>
      <c r="F8" s="170">
        <f>12145574-849123</f>
        <v>11296451</v>
      </c>
      <c r="G8" s="638">
        <f>11917341-6580705</f>
        <v>5336636</v>
      </c>
      <c r="H8" s="766">
        <v>339447</v>
      </c>
      <c r="I8" s="759"/>
      <c r="J8" s="643">
        <f t="shared" si="0"/>
        <v>38699101</v>
      </c>
    </row>
    <row r="9" spans="1:10" ht="15.75" customHeight="1" thickBot="1">
      <c r="A9" s="649" t="s">
        <v>626</v>
      </c>
      <c r="B9" s="662" t="s">
        <v>9</v>
      </c>
      <c r="C9" s="657"/>
      <c r="D9" s="171"/>
      <c r="E9" s="171"/>
      <c r="F9" s="171"/>
      <c r="G9" s="639"/>
      <c r="H9" s="767"/>
      <c r="I9" s="760"/>
      <c r="J9" s="644">
        <f t="shared" si="0"/>
        <v>0</v>
      </c>
    </row>
    <row r="10" spans="1:10" ht="15.75" customHeight="1" thickBot="1">
      <c r="A10" s="650" t="s">
        <v>627</v>
      </c>
      <c r="B10" s="663" t="s">
        <v>10</v>
      </c>
      <c r="C10" s="658">
        <f aca="true" t="shared" si="1" ref="C10:H10">+C11+C12+C13+C14</f>
        <v>259905822</v>
      </c>
      <c r="D10" s="409">
        <f t="shared" si="1"/>
        <v>0</v>
      </c>
      <c r="E10" s="409">
        <f t="shared" si="1"/>
        <v>0</v>
      </c>
      <c r="F10" s="409">
        <f t="shared" si="1"/>
        <v>0</v>
      </c>
      <c r="G10" s="640">
        <f t="shared" si="1"/>
        <v>0</v>
      </c>
      <c r="H10" s="634">
        <f t="shared" si="1"/>
        <v>0</v>
      </c>
      <c r="I10" s="761"/>
      <c r="J10" s="646">
        <f t="shared" si="0"/>
        <v>259905822</v>
      </c>
    </row>
    <row r="11" spans="1:10" ht="15.75" customHeight="1">
      <c r="A11" s="651" t="s">
        <v>628</v>
      </c>
      <c r="B11" s="660" t="s">
        <v>11</v>
      </c>
      <c r="C11" s="655">
        <v>259905822</v>
      </c>
      <c r="D11" s="169"/>
      <c r="E11" s="169"/>
      <c r="F11" s="169"/>
      <c r="G11" s="637"/>
      <c r="H11" s="765"/>
      <c r="I11" s="759"/>
      <c r="J11" s="643">
        <f t="shared" si="0"/>
        <v>259905822</v>
      </c>
    </row>
    <row r="12" spans="1:10" ht="15.75" customHeight="1">
      <c r="A12" s="648" t="s">
        <v>629</v>
      </c>
      <c r="B12" s="661" t="s">
        <v>12</v>
      </c>
      <c r="C12" s="656"/>
      <c r="D12" s="170"/>
      <c r="E12" s="170"/>
      <c r="F12" s="170"/>
      <c r="G12" s="638"/>
      <c r="H12" s="766"/>
      <c r="I12" s="759"/>
      <c r="J12" s="643">
        <f t="shared" si="0"/>
        <v>0</v>
      </c>
    </row>
    <row r="13" spans="1:10" ht="15.75" customHeight="1">
      <c r="A13" s="648" t="s">
        <v>630</v>
      </c>
      <c r="B13" s="661" t="s">
        <v>13</v>
      </c>
      <c r="C13" s="656"/>
      <c r="D13" s="170"/>
      <c r="E13" s="170"/>
      <c r="F13" s="170"/>
      <c r="G13" s="638"/>
      <c r="H13" s="766"/>
      <c r="I13" s="759"/>
      <c r="J13" s="643">
        <f t="shared" si="0"/>
        <v>0</v>
      </c>
    </row>
    <row r="14" spans="1:10" ht="15.75" customHeight="1" thickBot="1">
      <c r="A14" s="649" t="s">
        <v>631</v>
      </c>
      <c r="B14" s="662" t="s">
        <v>14</v>
      </c>
      <c r="C14" s="657"/>
      <c r="D14" s="171"/>
      <c r="E14" s="171"/>
      <c r="F14" s="171"/>
      <c r="G14" s="639"/>
      <c r="H14" s="767"/>
      <c r="I14" s="760"/>
      <c r="J14" s="644">
        <f t="shared" si="0"/>
        <v>0</v>
      </c>
    </row>
    <row r="15" spans="1:10" ht="15.75" customHeight="1" thickBot="1">
      <c r="A15" s="650" t="s">
        <v>632</v>
      </c>
      <c r="B15" s="664" t="s">
        <v>15</v>
      </c>
      <c r="C15" s="658">
        <f aca="true" t="shared" si="2" ref="C15:H15">+C16+C17+C18</f>
        <v>0</v>
      </c>
      <c r="D15" s="409">
        <f t="shared" si="2"/>
        <v>0</v>
      </c>
      <c r="E15" s="409">
        <f t="shared" si="2"/>
        <v>0</v>
      </c>
      <c r="F15" s="409">
        <f t="shared" si="2"/>
        <v>0</v>
      </c>
      <c r="G15" s="640">
        <f t="shared" si="2"/>
        <v>0</v>
      </c>
      <c r="H15" s="634">
        <f t="shared" si="2"/>
        <v>0</v>
      </c>
      <c r="I15" s="761"/>
      <c r="J15" s="645">
        <f t="shared" si="0"/>
        <v>0</v>
      </c>
    </row>
    <row r="16" spans="1:10" ht="15.75" customHeight="1">
      <c r="A16" s="651" t="s">
        <v>633</v>
      </c>
      <c r="B16" s="660" t="s">
        <v>16</v>
      </c>
      <c r="C16" s="655"/>
      <c r="D16" s="169"/>
      <c r="E16" s="169"/>
      <c r="F16" s="169"/>
      <c r="G16" s="637"/>
      <c r="H16" s="765"/>
      <c r="I16" s="759"/>
      <c r="J16" s="643">
        <f t="shared" si="0"/>
        <v>0</v>
      </c>
    </row>
    <row r="17" spans="1:10" ht="15.75" customHeight="1">
      <c r="A17" s="648" t="s">
        <v>634</v>
      </c>
      <c r="B17" s="661" t="s">
        <v>17</v>
      </c>
      <c r="C17" s="656"/>
      <c r="D17" s="170"/>
      <c r="E17" s="170"/>
      <c r="F17" s="170"/>
      <c r="G17" s="638"/>
      <c r="H17" s="766"/>
      <c r="I17" s="759"/>
      <c r="J17" s="643">
        <f t="shared" si="0"/>
        <v>0</v>
      </c>
    </row>
    <row r="18" spans="1:10" ht="15.75" customHeight="1" thickBot="1">
      <c r="A18" s="649" t="s">
        <v>635</v>
      </c>
      <c r="B18" s="662" t="s">
        <v>18</v>
      </c>
      <c r="C18" s="657"/>
      <c r="D18" s="171"/>
      <c r="E18" s="171"/>
      <c r="F18" s="171"/>
      <c r="G18" s="639"/>
      <c r="H18" s="767"/>
      <c r="I18" s="760"/>
      <c r="J18" s="644">
        <f t="shared" si="0"/>
        <v>0</v>
      </c>
    </row>
    <row r="19" spans="1:10" ht="15.75" customHeight="1" thickBot="1">
      <c r="A19" s="650" t="s">
        <v>641</v>
      </c>
      <c r="B19" s="664" t="s">
        <v>19</v>
      </c>
      <c r="C19" s="658">
        <f aca="true" t="shared" si="3" ref="C19:H19">+C20+C21+C22</f>
        <v>0</v>
      </c>
      <c r="D19" s="409">
        <f t="shared" si="3"/>
        <v>0</v>
      </c>
      <c r="E19" s="409">
        <f t="shared" si="3"/>
        <v>0</v>
      </c>
      <c r="F19" s="409">
        <f t="shared" si="3"/>
        <v>0</v>
      </c>
      <c r="G19" s="640">
        <f t="shared" si="3"/>
        <v>0</v>
      </c>
      <c r="H19" s="634">
        <f t="shared" si="3"/>
        <v>0</v>
      </c>
      <c r="I19" s="761"/>
      <c r="J19" s="645">
        <f t="shared" si="0"/>
        <v>0</v>
      </c>
    </row>
    <row r="20" spans="1:10" ht="15.75" customHeight="1">
      <c r="A20" s="651" t="s">
        <v>636</v>
      </c>
      <c r="B20" s="660" t="s">
        <v>20</v>
      </c>
      <c r="C20" s="655"/>
      <c r="D20" s="169"/>
      <c r="E20" s="169"/>
      <c r="F20" s="169"/>
      <c r="G20" s="637"/>
      <c r="H20" s="765"/>
      <c r="I20" s="759"/>
      <c r="J20" s="643">
        <f t="shared" si="0"/>
        <v>0</v>
      </c>
    </row>
    <row r="21" spans="1:10" ht="15.75" customHeight="1">
      <c r="A21" s="648" t="s">
        <v>637</v>
      </c>
      <c r="B21" s="661" t="s">
        <v>21</v>
      </c>
      <c r="C21" s="656"/>
      <c r="D21" s="170"/>
      <c r="E21" s="170"/>
      <c r="F21" s="170"/>
      <c r="G21" s="638"/>
      <c r="H21" s="766"/>
      <c r="I21" s="759"/>
      <c r="J21" s="643">
        <f t="shared" si="0"/>
        <v>0</v>
      </c>
    </row>
    <row r="22" spans="1:10" ht="15.75" customHeight="1">
      <c r="A22" s="648" t="s">
        <v>638</v>
      </c>
      <c r="B22" s="661" t="s">
        <v>22</v>
      </c>
      <c r="C22" s="656"/>
      <c r="D22" s="170"/>
      <c r="E22" s="170"/>
      <c r="F22" s="170"/>
      <c r="G22" s="638"/>
      <c r="H22" s="766"/>
      <c r="I22" s="759"/>
      <c r="J22" s="643">
        <f t="shared" si="0"/>
        <v>0</v>
      </c>
    </row>
    <row r="23" spans="1:10" ht="15.75" customHeight="1" thickBot="1">
      <c r="A23" s="648" t="s">
        <v>639</v>
      </c>
      <c r="B23" s="661" t="s">
        <v>23</v>
      </c>
      <c r="C23" s="656"/>
      <c r="D23" s="170"/>
      <c r="E23" s="170"/>
      <c r="F23" s="170"/>
      <c r="G23" s="638"/>
      <c r="H23" s="766"/>
      <c r="I23" s="759"/>
      <c r="J23" s="643">
        <f t="shared" si="0"/>
        <v>0</v>
      </c>
    </row>
    <row r="24" spans="1:10" ht="15.75" customHeight="1" thickBot="1">
      <c r="A24" s="1039" t="s">
        <v>640</v>
      </c>
      <c r="B24" s="1040"/>
      <c r="C24" s="634">
        <f>+C6+C7+C8+C9+C10+C15+C19+C23</f>
        <v>437138972</v>
      </c>
      <c r="D24" s="634">
        <f aca="true" t="shared" si="4" ref="D24:J24">+D6+D7+D8+D9+D10+D15+D19+D23</f>
        <v>110177695</v>
      </c>
      <c r="E24" s="634">
        <f t="shared" si="4"/>
        <v>13196692</v>
      </c>
      <c r="F24" s="634">
        <f t="shared" si="4"/>
        <v>137560639</v>
      </c>
      <c r="G24" s="762">
        <f t="shared" si="4"/>
        <v>76858089</v>
      </c>
      <c r="H24" s="634">
        <f t="shared" si="4"/>
        <v>11238446</v>
      </c>
      <c r="I24" s="658"/>
      <c r="J24" s="634">
        <f t="shared" si="4"/>
        <v>786170533</v>
      </c>
    </row>
    <row r="25" ht="15">
      <c r="A25" s="410" t="s">
        <v>642</v>
      </c>
    </row>
    <row r="26" spans="1:3" ht="15">
      <c r="A26" s="160"/>
      <c r="B26" s="161"/>
      <c r="C26" s="162"/>
    </row>
    <row r="27" spans="1:3" ht="15">
      <c r="A27" s="160"/>
      <c r="B27" s="161"/>
      <c r="C27" s="162"/>
    </row>
    <row r="28" spans="1:3" ht="15">
      <c r="A28" s="161"/>
      <c r="B28" s="161"/>
      <c r="C28" s="162"/>
    </row>
    <row r="29" spans="1:2" ht="15">
      <c r="A29" s="166"/>
      <c r="B29" s="166"/>
    </row>
    <row r="30" spans="1:2" ht="15">
      <c r="A30" s="166"/>
      <c r="B30" s="166"/>
    </row>
  </sheetData>
  <sheetProtection/>
  <mergeCells count="4">
    <mergeCell ref="A24:B24"/>
    <mergeCell ref="A3:A4"/>
    <mergeCell ref="B3:B4"/>
    <mergeCell ref="A1:J1"/>
  </mergeCells>
  <printOptions horizontalCentered="1"/>
  <pageMargins left="0.7874015748031497" right="0.7874015748031497" top="1.141732283464567" bottom="0.984251968503937" header="0.7874015748031497" footer="0.7874015748031497"/>
  <pageSetup fitToHeight="1" fitToWidth="1" horizontalDpi="600" verticalDpi="600" orientation="landscape" paperSize="9" scale="72" r:id="rId1"/>
  <headerFooter alignWithMargins="0">
    <oddHeader>&amp;L&amp;"Times New Roman,Félkövér dőlt"Nagykáta Város Önkormányzata&amp;R&amp;"Times New Roman,Félkövér dőlt"7.3. tájékoztató tábla a 7/2020. (VII.1.)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A1:L13"/>
  <sheetViews>
    <sheetView workbookViewId="0" topLeftCell="A1">
      <selection activeCell="G8" sqref="G8"/>
    </sheetView>
  </sheetViews>
  <sheetFormatPr defaultColWidth="12.00390625" defaultRowHeight="12.75"/>
  <cols>
    <col min="1" max="1" width="21.00390625" style="158" customWidth="1"/>
    <col min="2" max="2" width="39.50390625" style="158" customWidth="1"/>
    <col min="3" max="3" width="17.125" style="158" customWidth="1"/>
    <col min="4" max="4" width="19.125" style="158" customWidth="1"/>
    <col min="5" max="10" width="12.00390625" style="158" customWidth="1"/>
    <col min="11" max="11" width="24.75390625" style="158" customWidth="1"/>
    <col min="12" max="12" width="24.50390625" style="158" customWidth="1"/>
    <col min="13" max="16384" width="12.00390625" style="158" customWidth="1"/>
  </cols>
  <sheetData>
    <row r="1" spans="1:12" ht="48.75" customHeight="1">
      <c r="A1" s="1046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2019.</v>
      </c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6"/>
    </row>
    <row r="3" spans="1:12" ht="15">
      <c r="A3" s="1047"/>
      <c r="B3" s="1047"/>
      <c r="C3" s="1047"/>
      <c r="D3" s="1047"/>
      <c r="E3" s="1047"/>
      <c r="F3" s="1047"/>
      <c r="G3" s="1047"/>
      <c r="H3" s="1047"/>
      <c r="I3" s="1047"/>
      <c r="J3" s="1047"/>
      <c r="K3" s="1047"/>
      <c r="L3"/>
    </row>
    <row r="4" spans="1:12" ht="15">
      <c r="A4"/>
      <c r="B4" s="422"/>
      <c r="C4" s="423"/>
      <c r="D4" s="423"/>
      <c r="E4" s="423"/>
      <c r="F4" s="423"/>
      <c r="G4" s="423"/>
      <c r="H4" s="423"/>
      <c r="I4" s="423"/>
      <c r="J4" s="423"/>
      <c r="K4" s="423"/>
      <c r="L4"/>
    </row>
    <row r="5" spans="1:12" ht="15">
      <c r="A5"/>
      <c r="B5" s="424"/>
      <c r="C5"/>
      <c r="D5"/>
      <c r="E5"/>
      <c r="F5"/>
      <c r="G5"/>
      <c r="H5"/>
      <c r="I5"/>
      <c r="J5"/>
      <c r="K5" s="425" t="s">
        <v>700</v>
      </c>
      <c r="L5"/>
    </row>
    <row r="6" spans="1:12" ht="39" customHeight="1">
      <c r="A6" s="1050" t="s">
        <v>214</v>
      </c>
      <c r="B6" s="1048" t="s">
        <v>685</v>
      </c>
      <c r="C6" s="1048" t="s">
        <v>686</v>
      </c>
      <c r="D6" s="1048" t="s">
        <v>687</v>
      </c>
      <c r="E6" s="426" t="s">
        <v>688</v>
      </c>
      <c r="F6" s="1052" t="s">
        <v>689</v>
      </c>
      <c r="G6" s="1052"/>
      <c r="H6" s="1052"/>
      <c r="I6" s="1053"/>
      <c r="J6" s="1048" t="s">
        <v>908</v>
      </c>
      <c r="K6" s="1048" t="s">
        <v>690</v>
      </c>
      <c r="L6" s="1048" t="s">
        <v>691</v>
      </c>
    </row>
    <row r="7" spans="1:12" ht="27">
      <c r="A7" s="1051"/>
      <c r="B7" s="1049"/>
      <c r="C7" s="1049"/>
      <c r="D7" s="1049"/>
      <c r="E7" s="428">
        <v>2019</v>
      </c>
      <c r="F7" s="428">
        <v>2020</v>
      </c>
      <c r="G7" s="428">
        <v>2021</v>
      </c>
      <c r="H7" s="428">
        <v>2022</v>
      </c>
      <c r="I7" s="429" t="s">
        <v>692</v>
      </c>
      <c r="J7" s="1049"/>
      <c r="K7" s="1049"/>
      <c r="L7" s="1049"/>
    </row>
    <row r="8" spans="1:12" ht="15">
      <c r="A8" s="430" t="s">
        <v>6</v>
      </c>
      <c r="B8" s="430" t="s">
        <v>693</v>
      </c>
      <c r="C8" s="430" t="s">
        <v>693</v>
      </c>
      <c r="D8" s="430" t="s">
        <v>693</v>
      </c>
      <c r="E8" s="431">
        <v>0</v>
      </c>
      <c r="F8" s="431">
        <v>0</v>
      </c>
      <c r="G8" s="431">
        <v>0</v>
      </c>
      <c r="H8" s="431">
        <v>0</v>
      </c>
      <c r="I8" s="431">
        <v>0</v>
      </c>
      <c r="J8" s="432">
        <v>0</v>
      </c>
      <c r="K8" s="432">
        <v>0</v>
      </c>
      <c r="L8" s="430" t="s">
        <v>693</v>
      </c>
    </row>
    <row r="9" spans="1:12" ht="15">
      <c r="A9" s="427"/>
      <c r="B9" s="433" t="s">
        <v>694</v>
      </c>
      <c r="C9" s="434"/>
      <c r="D9" s="434"/>
      <c r="E9" s="435">
        <f aca="true" t="shared" si="0" ref="E9:K9">SUM(E8:E8)</f>
        <v>0</v>
      </c>
      <c r="F9" s="435">
        <f t="shared" si="0"/>
        <v>0</v>
      </c>
      <c r="G9" s="435">
        <f t="shared" si="0"/>
        <v>0</v>
      </c>
      <c r="H9" s="435">
        <f t="shared" si="0"/>
        <v>0</v>
      </c>
      <c r="I9" s="435">
        <f t="shared" si="0"/>
        <v>0</v>
      </c>
      <c r="J9" s="436">
        <f t="shared" si="0"/>
        <v>0</v>
      </c>
      <c r="K9" s="436">
        <f t="shared" si="0"/>
        <v>0</v>
      </c>
      <c r="L9" s="434"/>
    </row>
    <row r="10" spans="1:12" ht="41.25" customHeight="1">
      <c r="A10" s="430" t="s">
        <v>9</v>
      </c>
      <c r="B10" s="421" t="s">
        <v>681</v>
      </c>
      <c r="C10" s="430" t="s">
        <v>695</v>
      </c>
      <c r="D10" s="430">
        <v>2025</v>
      </c>
      <c r="E10" s="431">
        <v>0</v>
      </c>
      <c r="F10" s="431">
        <v>0</v>
      </c>
      <c r="G10" s="431">
        <v>0</v>
      </c>
      <c r="H10" s="431">
        <v>0</v>
      </c>
      <c r="I10" s="431">
        <v>0</v>
      </c>
      <c r="J10" s="437">
        <v>0</v>
      </c>
      <c r="K10" s="438">
        <v>197076</v>
      </c>
      <c r="L10" s="430" t="s">
        <v>696</v>
      </c>
    </row>
    <row r="11" spans="1:12" ht="50.25" customHeight="1">
      <c r="A11" s="430" t="s">
        <v>10</v>
      </c>
      <c r="B11" s="421" t="s">
        <v>682</v>
      </c>
      <c r="C11" s="430" t="s">
        <v>697</v>
      </c>
      <c r="D11" s="430">
        <v>2019</v>
      </c>
      <c r="E11" s="431">
        <v>40000</v>
      </c>
      <c r="F11" s="431">
        <v>0</v>
      </c>
      <c r="G11" s="431">
        <v>0</v>
      </c>
      <c r="H11" s="431">
        <v>0</v>
      </c>
      <c r="I11" s="431">
        <v>0</v>
      </c>
      <c r="J11" s="437">
        <v>0</v>
      </c>
      <c r="K11" s="439">
        <v>6312118</v>
      </c>
      <c r="L11" s="430" t="s">
        <v>696</v>
      </c>
    </row>
    <row r="12" spans="1:12" ht="26.25" customHeight="1">
      <c r="A12" s="430"/>
      <c r="B12" s="440" t="s">
        <v>698</v>
      </c>
      <c r="C12" s="434"/>
      <c r="D12" s="434"/>
      <c r="E12" s="437">
        <f aca="true" t="shared" si="1" ref="E12:K12">SUM(E10:E11)</f>
        <v>40000</v>
      </c>
      <c r="F12" s="437">
        <f t="shared" si="1"/>
        <v>0</v>
      </c>
      <c r="G12" s="437">
        <f t="shared" si="1"/>
        <v>0</v>
      </c>
      <c r="H12" s="437">
        <f t="shared" si="1"/>
        <v>0</v>
      </c>
      <c r="I12" s="437">
        <f t="shared" si="1"/>
        <v>0</v>
      </c>
      <c r="J12" s="437">
        <f t="shared" si="1"/>
        <v>0</v>
      </c>
      <c r="K12" s="441">
        <f t="shared" si="1"/>
        <v>6509194</v>
      </c>
      <c r="L12" s="434"/>
    </row>
    <row r="13" spans="1:12" ht="71.25" customHeight="1">
      <c r="A13" s="430"/>
      <c r="B13" s="442" t="s">
        <v>699</v>
      </c>
      <c r="C13" s="434"/>
      <c r="D13" s="434"/>
      <c r="E13" s="437">
        <f>E9+E12</f>
        <v>40000</v>
      </c>
      <c r="F13" s="437">
        <f aca="true" t="shared" si="2" ref="F13:K13">F9+F12</f>
        <v>0</v>
      </c>
      <c r="G13" s="437">
        <f t="shared" si="2"/>
        <v>0</v>
      </c>
      <c r="H13" s="437">
        <f t="shared" si="2"/>
        <v>0</v>
      </c>
      <c r="I13" s="437">
        <f t="shared" si="2"/>
        <v>0</v>
      </c>
      <c r="J13" s="441">
        <f t="shared" si="2"/>
        <v>0</v>
      </c>
      <c r="K13" s="443">
        <f t="shared" si="2"/>
        <v>6509194</v>
      </c>
      <c r="L13" s="434"/>
    </row>
  </sheetData>
  <sheetProtection/>
  <mergeCells count="10">
    <mergeCell ref="A1:L1"/>
    <mergeCell ref="A3:K3"/>
    <mergeCell ref="K6:K7"/>
    <mergeCell ref="L6:L7"/>
    <mergeCell ref="A6:A7"/>
    <mergeCell ref="B6:B7"/>
    <mergeCell ref="C6:C7"/>
    <mergeCell ref="D6:D7"/>
    <mergeCell ref="F6:I6"/>
    <mergeCell ref="J6:J7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landscape" paperSize="9" scale="66" r:id="rId1"/>
  <headerFooter alignWithMargins="0">
    <oddHeader>&amp;L&amp;"Times New Roman,Félkövér dőlt"Nagykáta Város Önkormányzata&amp;R&amp;"Times New Roman,Félkövér dőlt"7.4. tájékoztató tábla a 7/2020. (VII.1.)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E17"/>
  <sheetViews>
    <sheetView zoomScalePageLayoutView="0" workbookViewId="0" topLeftCell="A1">
      <selection activeCell="E1" sqref="E1:E16"/>
    </sheetView>
  </sheetViews>
  <sheetFormatPr defaultColWidth="9.375" defaultRowHeight="12.75"/>
  <cols>
    <col min="1" max="1" width="9.375" style="173" customWidth="1"/>
    <col min="2" max="2" width="58.50390625" style="173" customWidth="1"/>
    <col min="3" max="3" width="32.625" style="173" customWidth="1"/>
    <col min="4" max="4" width="26.375" style="173" customWidth="1"/>
    <col min="5" max="5" width="15.625" style="173" customWidth="1"/>
    <col min="6" max="7" width="9.375" style="173" customWidth="1"/>
    <col min="8" max="8" width="18.00390625" style="173" customWidth="1"/>
    <col min="9" max="9" width="16.125" style="173" customWidth="1"/>
    <col min="10" max="16384" width="9.375" style="173" customWidth="1"/>
  </cols>
  <sheetData>
    <row r="1" spans="1:5" ht="12.75">
      <c r="A1" s="174"/>
      <c r="E1" s="1057" t="str">
        <f>+CONCATENATE("8. tájékoztató tábla a 7/",LEFT(ÖSSZEFÜGGÉSEK!A4,4)+1,". (VII.1.) önkormányzati rendelethez")</f>
        <v>8. tájékoztató tábla a 7/2020. (VII.1.) önkormányzati rendelethez</v>
      </c>
    </row>
    <row r="2" spans="1:5" ht="33" customHeight="1">
      <c r="A2" s="1054" t="str">
        <f>+CONCATENATE("Nagykáta Város Önkormányzat tulajdonában álló gazdálkodó szervezetek működéséből származó",CHAR(10),"kötelezettségek és részesedések alakulása a ",LEFT(ÖSSZEFÜGGÉSEK!A4,4),". évben")</f>
        <v>Nagykáta Város Önkormányzat tulajdonában álló gazdálkodó szervezetek működéséből származó
kötelezettségek és részesedések alakulása a 2019. évben</v>
      </c>
      <c r="B2" s="1054"/>
      <c r="C2" s="1054"/>
      <c r="D2" s="1054"/>
      <c r="E2" s="1057"/>
    </row>
    <row r="3" spans="1:5" ht="15.75" thickBot="1">
      <c r="A3" s="175"/>
      <c r="E3" s="1057"/>
    </row>
    <row r="4" spans="1:5" ht="31.5" thickBot="1">
      <c r="A4" s="559" t="s">
        <v>214</v>
      </c>
      <c r="B4" s="176" t="s">
        <v>259</v>
      </c>
      <c r="C4" s="176" t="s">
        <v>260</v>
      </c>
      <c r="D4" s="177" t="s">
        <v>907</v>
      </c>
      <c r="E4" s="1057"/>
    </row>
    <row r="5" spans="1:5" ht="15">
      <c r="A5" s="178" t="s">
        <v>6</v>
      </c>
      <c r="B5" s="560" t="s">
        <v>854</v>
      </c>
      <c r="C5" s="561">
        <v>370000</v>
      </c>
      <c r="D5" s="181">
        <v>0</v>
      </c>
      <c r="E5" s="1057"/>
    </row>
    <row r="6" spans="1:5" ht="15">
      <c r="A6" s="179" t="s">
        <v>7</v>
      </c>
      <c r="B6" s="562" t="s">
        <v>855</v>
      </c>
      <c r="C6" s="563">
        <v>300000</v>
      </c>
      <c r="D6" s="182">
        <v>0</v>
      </c>
      <c r="E6" s="1057"/>
    </row>
    <row r="7" spans="1:5" ht="15">
      <c r="A7" s="179" t="s">
        <v>8</v>
      </c>
      <c r="B7" s="560" t="s">
        <v>856</v>
      </c>
      <c r="C7" s="561">
        <v>816000</v>
      </c>
      <c r="D7" s="182">
        <v>0</v>
      </c>
      <c r="E7" s="1057"/>
    </row>
    <row r="8" spans="1:5" ht="15">
      <c r="A8" s="179" t="s">
        <v>9</v>
      </c>
      <c r="B8" s="560" t="s">
        <v>857</v>
      </c>
      <c r="C8" s="564">
        <v>9000000</v>
      </c>
      <c r="D8" s="182">
        <v>9000000</v>
      </c>
      <c r="E8" s="1057"/>
    </row>
    <row r="9" spans="1:5" ht="15">
      <c r="A9" s="179" t="s">
        <v>10</v>
      </c>
      <c r="B9" s="560" t="s">
        <v>858</v>
      </c>
      <c r="C9" s="561">
        <v>530000</v>
      </c>
      <c r="D9" s="182">
        <v>0</v>
      </c>
      <c r="E9" s="1057"/>
    </row>
    <row r="10" spans="1:5" ht="15">
      <c r="A10" s="179" t="s">
        <v>11</v>
      </c>
      <c r="B10" s="560" t="s">
        <v>859</v>
      </c>
      <c r="C10" s="561">
        <v>300000</v>
      </c>
      <c r="D10" s="182">
        <v>300000</v>
      </c>
      <c r="E10" s="1057"/>
    </row>
    <row r="11" spans="1:5" ht="15">
      <c r="A11" s="179" t="s">
        <v>12</v>
      </c>
      <c r="B11" s="562" t="s">
        <v>860</v>
      </c>
      <c r="C11" s="738">
        <v>63253249</v>
      </c>
      <c r="D11" s="182">
        <v>58773490</v>
      </c>
      <c r="E11" s="1057"/>
    </row>
    <row r="12" spans="1:5" ht="30">
      <c r="A12" s="179" t="s">
        <v>13</v>
      </c>
      <c r="B12" s="560" t="s">
        <v>861</v>
      </c>
      <c r="C12" s="565">
        <v>9419500</v>
      </c>
      <c r="D12" s="182">
        <v>9419500</v>
      </c>
      <c r="E12" s="1057"/>
    </row>
    <row r="13" spans="1:5" ht="15">
      <c r="A13" s="179" t="s">
        <v>14</v>
      </c>
      <c r="B13" s="560" t="s">
        <v>862</v>
      </c>
      <c r="C13" s="565">
        <v>3000000</v>
      </c>
      <c r="D13" s="182">
        <v>3000000</v>
      </c>
      <c r="E13" s="1057"/>
    </row>
    <row r="14" spans="1:5" ht="15">
      <c r="A14" s="179" t="s">
        <v>15</v>
      </c>
      <c r="B14" s="560" t="s">
        <v>863</v>
      </c>
      <c r="C14" s="564">
        <v>7200</v>
      </c>
      <c r="D14" s="182">
        <v>7200</v>
      </c>
      <c r="E14" s="1057"/>
    </row>
    <row r="15" spans="1:5" ht="15.75" thickBot="1">
      <c r="A15" s="179" t="s">
        <v>16</v>
      </c>
      <c r="B15" s="560" t="s">
        <v>864</v>
      </c>
      <c r="C15" s="565">
        <v>3000000</v>
      </c>
      <c r="D15" s="182">
        <v>3000000</v>
      </c>
      <c r="E15" s="1057"/>
    </row>
    <row r="16" spans="1:5" ht="15.75" thickBot="1">
      <c r="A16" s="1055" t="s">
        <v>261</v>
      </c>
      <c r="B16" s="1056"/>
      <c r="C16" s="180">
        <f>IF(SUM(C5:C15)=0,"",SUM(C5:C15))</f>
        <v>89995949</v>
      </c>
      <c r="D16" s="183">
        <f>IF(SUM(D5:D15)=0,"",SUM(D5:D15))</f>
        <v>83500190</v>
      </c>
      <c r="E16" s="1057"/>
    </row>
    <row r="17" ht="15">
      <c r="A17" s="175"/>
    </row>
  </sheetData>
  <sheetProtection/>
  <mergeCells count="3">
    <mergeCell ref="A2:D2"/>
    <mergeCell ref="A16:B16"/>
    <mergeCell ref="E1:E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48"/>
  <sheetViews>
    <sheetView workbookViewId="0" topLeftCell="O1">
      <selection activeCell="T4" sqref="T4"/>
    </sheetView>
  </sheetViews>
  <sheetFormatPr defaultColWidth="9.375" defaultRowHeight="12.75"/>
  <cols>
    <col min="1" max="1" width="45.375" style="7" bestFit="1" customWidth="1"/>
    <col min="2" max="3" width="15.75390625" style="7" customWidth="1"/>
    <col min="4" max="4" width="45.375" style="7" bestFit="1" customWidth="1"/>
    <col min="5" max="6" width="15.75390625" style="7" customWidth="1"/>
    <col min="7" max="7" width="45.375" style="7" bestFit="1" customWidth="1"/>
    <col min="8" max="9" width="15.75390625" style="7" customWidth="1"/>
    <col min="10" max="10" width="45.375" style="7" bestFit="1" customWidth="1"/>
    <col min="11" max="12" width="15.75390625" style="7" customWidth="1"/>
    <col min="13" max="13" width="45.375" style="7" bestFit="1" customWidth="1"/>
    <col min="14" max="15" width="15.75390625" style="7" customWidth="1"/>
    <col min="16" max="16" width="45.375" style="7" bestFit="1" customWidth="1"/>
    <col min="17" max="18" width="15.75390625" style="7" customWidth="1"/>
    <col min="19" max="19" width="45.375" style="7" bestFit="1" customWidth="1"/>
    <col min="20" max="23" width="15.75390625" style="7" customWidth="1"/>
    <col min="24" max="26" width="9.375" style="7" customWidth="1"/>
    <col min="27" max="16384" width="9.375" style="7" customWidth="1"/>
  </cols>
  <sheetData>
    <row r="1" spans="1:7" ht="54" customHeight="1">
      <c r="A1" s="1063"/>
      <c r="B1" s="1063"/>
      <c r="C1" s="172"/>
      <c r="D1" s="172"/>
      <c r="E1" s="172"/>
      <c r="F1" s="172"/>
      <c r="G1" s="172"/>
    </row>
    <row r="2" ht="87.75" customHeight="1" thickBot="1"/>
    <row r="3" spans="1:23" ht="39" customHeight="1">
      <c r="A3" s="1064" t="s">
        <v>677</v>
      </c>
      <c r="B3" s="1065"/>
      <c r="C3" s="1066"/>
      <c r="D3" s="1060" t="s">
        <v>679</v>
      </c>
      <c r="E3" s="1061"/>
      <c r="F3" s="1062"/>
      <c r="G3" s="1060" t="s">
        <v>819</v>
      </c>
      <c r="H3" s="1061"/>
      <c r="I3" s="1062"/>
      <c r="J3" s="1067" t="s">
        <v>669</v>
      </c>
      <c r="K3" s="1068"/>
      <c r="L3" s="1069"/>
      <c r="M3" s="1060" t="s">
        <v>823</v>
      </c>
      <c r="N3" s="1061"/>
      <c r="O3" s="1062"/>
      <c r="P3" s="1060" t="s">
        <v>820</v>
      </c>
      <c r="Q3" s="1061"/>
      <c r="R3" s="1062"/>
      <c r="S3" s="1060" t="s">
        <v>909</v>
      </c>
      <c r="T3" s="1061"/>
      <c r="U3" s="1062"/>
      <c r="V3" s="1058" t="s">
        <v>822</v>
      </c>
      <c r="W3" s="1059"/>
    </row>
    <row r="4" spans="1:23" ht="15">
      <c r="A4" s="454" t="s">
        <v>47</v>
      </c>
      <c r="B4" s="452" t="s">
        <v>701</v>
      </c>
      <c r="C4" s="455" t="s">
        <v>702</v>
      </c>
      <c r="D4" s="456" t="s">
        <v>47</v>
      </c>
      <c r="E4" s="453" t="s">
        <v>701</v>
      </c>
      <c r="F4" s="457" t="s">
        <v>702</v>
      </c>
      <c r="G4" s="456" t="s">
        <v>47</v>
      </c>
      <c r="H4" s="453" t="s">
        <v>701</v>
      </c>
      <c r="I4" s="457" t="s">
        <v>702</v>
      </c>
      <c r="J4" s="456" t="s">
        <v>47</v>
      </c>
      <c r="K4" s="453" t="s">
        <v>701</v>
      </c>
      <c r="L4" s="457" t="s">
        <v>702</v>
      </c>
      <c r="M4" s="456" t="s">
        <v>47</v>
      </c>
      <c r="N4" s="453" t="s">
        <v>701</v>
      </c>
      <c r="O4" s="457" t="s">
        <v>702</v>
      </c>
      <c r="P4" s="456" t="s">
        <v>47</v>
      </c>
      <c r="Q4" s="453" t="s">
        <v>701</v>
      </c>
      <c r="R4" s="457" t="s">
        <v>702</v>
      </c>
      <c r="S4" s="456" t="s">
        <v>47</v>
      </c>
      <c r="T4" s="453" t="s">
        <v>701</v>
      </c>
      <c r="U4" s="457" t="s">
        <v>702</v>
      </c>
      <c r="V4" s="458" t="s">
        <v>701</v>
      </c>
      <c r="W4" s="459" t="s">
        <v>702</v>
      </c>
    </row>
    <row r="5" spans="1:23" ht="28.5" customHeight="1">
      <c r="A5" s="731" t="s">
        <v>703</v>
      </c>
      <c r="B5" s="729">
        <v>606038657</v>
      </c>
      <c r="C5" s="732">
        <v>509858670</v>
      </c>
      <c r="D5" s="731" t="s">
        <v>703</v>
      </c>
      <c r="E5" s="729">
        <v>0</v>
      </c>
      <c r="F5" s="732">
        <v>0</v>
      </c>
      <c r="G5" s="731" t="s">
        <v>703</v>
      </c>
      <c r="H5" s="729">
        <v>0</v>
      </c>
      <c r="I5" s="732">
        <v>0</v>
      </c>
      <c r="J5" s="731" t="s">
        <v>703</v>
      </c>
      <c r="K5" s="729">
        <v>0</v>
      </c>
      <c r="L5" s="732">
        <v>0</v>
      </c>
      <c r="M5" s="731" t="s">
        <v>703</v>
      </c>
      <c r="N5" s="729">
        <v>0</v>
      </c>
      <c r="O5" s="732">
        <v>0</v>
      </c>
      <c r="P5" s="731" t="s">
        <v>703</v>
      </c>
      <c r="Q5" s="729">
        <v>0</v>
      </c>
      <c r="R5" s="732">
        <v>0</v>
      </c>
      <c r="S5" s="731" t="s">
        <v>703</v>
      </c>
      <c r="T5" s="729">
        <v>0</v>
      </c>
      <c r="U5" s="732">
        <v>0</v>
      </c>
      <c r="V5" s="446">
        <f>B5+E5+K5+N5+Q5+T5+H5</f>
        <v>606038657</v>
      </c>
      <c r="W5" s="447">
        <f>C5+F5+I5+L5+O5+R5+U5</f>
        <v>509858670</v>
      </c>
    </row>
    <row r="6" spans="1:23" ht="27" customHeight="1">
      <c r="A6" s="731" t="s">
        <v>704</v>
      </c>
      <c r="B6" s="729">
        <v>50717559</v>
      </c>
      <c r="C6" s="732">
        <v>69423132</v>
      </c>
      <c r="D6" s="731" t="s">
        <v>704</v>
      </c>
      <c r="E6" s="729">
        <v>1689538</v>
      </c>
      <c r="F6" s="732">
        <v>1654266</v>
      </c>
      <c r="G6" s="731" t="s">
        <v>704</v>
      </c>
      <c r="H6" s="729">
        <v>0</v>
      </c>
      <c r="I6" s="732">
        <v>0</v>
      </c>
      <c r="J6" s="731" t="s">
        <v>704</v>
      </c>
      <c r="K6" s="729">
        <v>68138664</v>
      </c>
      <c r="L6" s="732">
        <v>58051257</v>
      </c>
      <c r="M6" s="731" t="s">
        <v>704</v>
      </c>
      <c r="N6" s="729">
        <v>14232113</v>
      </c>
      <c r="O6" s="732">
        <v>14762269</v>
      </c>
      <c r="P6" s="731" t="s">
        <v>704</v>
      </c>
      <c r="Q6" s="729">
        <v>13200</v>
      </c>
      <c r="R6" s="732">
        <v>22660</v>
      </c>
      <c r="S6" s="731" t="s">
        <v>704</v>
      </c>
      <c r="T6" s="729">
        <v>0</v>
      </c>
      <c r="U6" s="732">
        <v>0</v>
      </c>
      <c r="V6" s="446">
        <f aca="true" t="shared" si="0" ref="V6:V47">B6+E6+K6+N6+Q6+T6+H6</f>
        <v>134791074</v>
      </c>
      <c r="W6" s="447">
        <f aca="true" t="shared" si="1" ref="W6:W48">C6+F6+I6+L6+O6+R6+U6</f>
        <v>143913584</v>
      </c>
    </row>
    <row r="7" spans="1:23" ht="30.75" customHeight="1">
      <c r="A7" s="731" t="s">
        <v>705</v>
      </c>
      <c r="B7" s="729">
        <v>0</v>
      </c>
      <c r="C7" s="732">
        <v>0</v>
      </c>
      <c r="D7" s="731" t="s">
        <v>705</v>
      </c>
      <c r="E7" s="729">
        <v>0</v>
      </c>
      <c r="F7" s="732">
        <v>0</v>
      </c>
      <c r="G7" s="731" t="s">
        <v>705</v>
      </c>
      <c r="H7" s="729">
        <v>0</v>
      </c>
      <c r="I7" s="732">
        <v>0</v>
      </c>
      <c r="J7" s="731" t="s">
        <v>705</v>
      </c>
      <c r="K7" s="729">
        <v>0</v>
      </c>
      <c r="L7" s="732">
        <v>0</v>
      </c>
      <c r="M7" s="731" t="s">
        <v>705</v>
      </c>
      <c r="N7" s="729">
        <v>0</v>
      </c>
      <c r="O7" s="732">
        <v>0</v>
      </c>
      <c r="P7" s="731" t="s">
        <v>705</v>
      </c>
      <c r="Q7" s="729">
        <v>0</v>
      </c>
      <c r="R7" s="732">
        <v>0</v>
      </c>
      <c r="S7" s="731" t="s">
        <v>705</v>
      </c>
      <c r="T7" s="729">
        <v>0</v>
      </c>
      <c r="U7" s="732">
        <v>0</v>
      </c>
      <c r="V7" s="446">
        <f t="shared" si="0"/>
        <v>0</v>
      </c>
      <c r="W7" s="447">
        <f t="shared" si="1"/>
        <v>0</v>
      </c>
    </row>
    <row r="8" spans="1:23" ht="45" customHeight="1">
      <c r="A8" s="733" t="s">
        <v>706</v>
      </c>
      <c r="B8" s="730">
        <v>656756216</v>
      </c>
      <c r="C8" s="734">
        <v>579281802</v>
      </c>
      <c r="D8" s="733" t="s">
        <v>706</v>
      </c>
      <c r="E8" s="730">
        <v>1689538</v>
      </c>
      <c r="F8" s="734">
        <v>1654266</v>
      </c>
      <c r="G8" s="733" t="s">
        <v>706</v>
      </c>
      <c r="H8" s="730">
        <v>0</v>
      </c>
      <c r="I8" s="734">
        <v>0</v>
      </c>
      <c r="J8" s="733" t="s">
        <v>706</v>
      </c>
      <c r="K8" s="730">
        <v>68138664</v>
      </c>
      <c r="L8" s="734">
        <v>58051257</v>
      </c>
      <c r="M8" s="733" t="s">
        <v>706</v>
      </c>
      <c r="N8" s="730">
        <v>14232113</v>
      </c>
      <c r="O8" s="734">
        <v>14762269</v>
      </c>
      <c r="P8" s="733" t="s">
        <v>706</v>
      </c>
      <c r="Q8" s="730">
        <v>13200</v>
      </c>
      <c r="R8" s="734">
        <v>22660</v>
      </c>
      <c r="S8" s="733" t="s">
        <v>706</v>
      </c>
      <c r="T8" s="730">
        <v>0</v>
      </c>
      <c r="U8" s="734">
        <v>0</v>
      </c>
      <c r="V8" s="448">
        <f t="shared" si="0"/>
        <v>740829731</v>
      </c>
      <c r="W8" s="449">
        <f t="shared" si="1"/>
        <v>653772254</v>
      </c>
    </row>
    <row r="9" spans="1:23" ht="29.25" customHeight="1">
      <c r="A9" s="731" t="s">
        <v>707</v>
      </c>
      <c r="B9" s="729">
        <v>0</v>
      </c>
      <c r="C9" s="732">
        <v>0</v>
      </c>
      <c r="D9" s="731" t="s">
        <v>707</v>
      </c>
      <c r="E9" s="729">
        <v>0</v>
      </c>
      <c r="F9" s="732">
        <v>0</v>
      </c>
      <c r="G9" s="731" t="s">
        <v>707</v>
      </c>
      <c r="H9" s="729">
        <v>0</v>
      </c>
      <c r="I9" s="732">
        <v>0</v>
      </c>
      <c r="J9" s="731" t="s">
        <v>707</v>
      </c>
      <c r="K9" s="729">
        <v>0</v>
      </c>
      <c r="L9" s="732">
        <v>0</v>
      </c>
      <c r="M9" s="731" t="s">
        <v>707</v>
      </c>
      <c r="N9" s="729">
        <v>0</v>
      </c>
      <c r="O9" s="732">
        <v>0</v>
      </c>
      <c r="P9" s="731" t="s">
        <v>707</v>
      </c>
      <c r="Q9" s="729">
        <v>0</v>
      </c>
      <c r="R9" s="732">
        <v>0</v>
      </c>
      <c r="S9" s="731" t="s">
        <v>707</v>
      </c>
      <c r="T9" s="729">
        <v>0</v>
      </c>
      <c r="U9" s="732">
        <v>0</v>
      </c>
      <c r="V9" s="446">
        <f t="shared" si="0"/>
        <v>0</v>
      </c>
      <c r="W9" s="447">
        <f t="shared" si="1"/>
        <v>0</v>
      </c>
    </row>
    <row r="10" spans="1:23" ht="45" customHeight="1">
      <c r="A10" s="731" t="s">
        <v>895</v>
      </c>
      <c r="B10" s="729">
        <v>0</v>
      </c>
      <c r="C10" s="732">
        <v>0</v>
      </c>
      <c r="D10" s="731" t="s">
        <v>895</v>
      </c>
      <c r="E10" s="729">
        <v>0</v>
      </c>
      <c r="F10" s="732">
        <v>0</v>
      </c>
      <c r="G10" s="731" t="s">
        <v>895</v>
      </c>
      <c r="H10" s="729">
        <v>0</v>
      </c>
      <c r="I10" s="732">
        <v>0</v>
      </c>
      <c r="J10" s="731" t="s">
        <v>895</v>
      </c>
      <c r="K10" s="729">
        <v>0</v>
      </c>
      <c r="L10" s="732">
        <v>0</v>
      </c>
      <c r="M10" s="731" t="s">
        <v>895</v>
      </c>
      <c r="N10" s="729">
        <v>0</v>
      </c>
      <c r="O10" s="732">
        <v>0</v>
      </c>
      <c r="P10" s="731" t="s">
        <v>895</v>
      </c>
      <c r="Q10" s="729">
        <v>0</v>
      </c>
      <c r="R10" s="732">
        <v>0</v>
      </c>
      <c r="S10" s="731" t="s">
        <v>895</v>
      </c>
      <c r="T10" s="729">
        <v>0</v>
      </c>
      <c r="U10" s="732">
        <v>0</v>
      </c>
      <c r="V10" s="446">
        <f t="shared" si="0"/>
        <v>0</v>
      </c>
      <c r="W10" s="447">
        <f t="shared" si="1"/>
        <v>0</v>
      </c>
    </row>
    <row r="11" spans="1:23" ht="67.5" customHeight="1">
      <c r="A11" s="733" t="s">
        <v>708</v>
      </c>
      <c r="B11" s="730">
        <v>0</v>
      </c>
      <c r="C11" s="734">
        <v>0</v>
      </c>
      <c r="D11" s="733" t="s">
        <v>708</v>
      </c>
      <c r="E11" s="730">
        <v>0</v>
      </c>
      <c r="F11" s="734">
        <v>0</v>
      </c>
      <c r="G11" s="733" t="s">
        <v>708</v>
      </c>
      <c r="H11" s="730">
        <v>0</v>
      </c>
      <c r="I11" s="734">
        <v>0</v>
      </c>
      <c r="J11" s="733" t="s">
        <v>708</v>
      </c>
      <c r="K11" s="730">
        <v>0</v>
      </c>
      <c r="L11" s="734">
        <v>0</v>
      </c>
      <c r="M11" s="733" t="s">
        <v>708</v>
      </c>
      <c r="N11" s="730">
        <v>0</v>
      </c>
      <c r="O11" s="734">
        <v>0</v>
      </c>
      <c r="P11" s="733" t="s">
        <v>708</v>
      </c>
      <c r="Q11" s="730">
        <v>0</v>
      </c>
      <c r="R11" s="734">
        <v>0</v>
      </c>
      <c r="S11" s="733" t="s">
        <v>708</v>
      </c>
      <c r="T11" s="730">
        <v>0</v>
      </c>
      <c r="U11" s="734">
        <v>0</v>
      </c>
      <c r="V11" s="448">
        <f t="shared" si="0"/>
        <v>0</v>
      </c>
      <c r="W11" s="449">
        <f t="shared" si="1"/>
        <v>0</v>
      </c>
    </row>
    <row r="12" spans="1:23" ht="39" customHeight="1">
      <c r="A12" s="731" t="s">
        <v>709</v>
      </c>
      <c r="B12" s="729">
        <v>754180590</v>
      </c>
      <c r="C12" s="732">
        <v>904055409</v>
      </c>
      <c r="D12" s="731" t="s">
        <v>709</v>
      </c>
      <c r="E12" s="729">
        <v>154272927</v>
      </c>
      <c r="F12" s="732">
        <v>170879077</v>
      </c>
      <c r="G12" s="731" t="s">
        <v>709</v>
      </c>
      <c r="H12" s="729">
        <v>83127434</v>
      </c>
      <c r="I12" s="732">
        <v>87169134</v>
      </c>
      <c r="J12" s="731" t="s">
        <v>709</v>
      </c>
      <c r="K12" s="729">
        <v>283209666</v>
      </c>
      <c r="L12" s="732">
        <v>260710190</v>
      </c>
      <c r="M12" s="731" t="s">
        <v>709</v>
      </c>
      <c r="N12" s="729">
        <v>51711023</v>
      </c>
      <c r="O12" s="732">
        <v>54441062</v>
      </c>
      <c r="P12" s="731" t="s">
        <v>709</v>
      </c>
      <c r="Q12" s="729">
        <v>323649956</v>
      </c>
      <c r="R12" s="732">
        <v>333560975</v>
      </c>
      <c r="S12" s="731" t="s">
        <v>709</v>
      </c>
      <c r="T12" s="729">
        <v>0</v>
      </c>
      <c r="U12" s="732">
        <v>1395897</v>
      </c>
      <c r="V12" s="446">
        <f t="shared" si="0"/>
        <v>1650151596</v>
      </c>
      <c r="W12" s="447">
        <f t="shared" si="1"/>
        <v>1812211744</v>
      </c>
    </row>
    <row r="13" spans="1:23" ht="31.5" customHeight="1">
      <c r="A13" s="731" t="s">
        <v>710</v>
      </c>
      <c r="B13" s="729">
        <v>21826485</v>
      </c>
      <c r="C13" s="732">
        <v>22572414</v>
      </c>
      <c r="D13" s="731" t="s">
        <v>710</v>
      </c>
      <c r="E13" s="729">
        <v>7421799</v>
      </c>
      <c r="F13" s="732">
        <v>8753593</v>
      </c>
      <c r="G13" s="731" t="s">
        <v>710</v>
      </c>
      <c r="H13" s="729">
        <v>0</v>
      </c>
      <c r="I13" s="732">
        <v>0</v>
      </c>
      <c r="J13" s="731" t="s">
        <v>710</v>
      </c>
      <c r="K13" s="729">
        <v>82213296</v>
      </c>
      <c r="L13" s="732">
        <v>71333233</v>
      </c>
      <c r="M13" s="731" t="s">
        <v>710</v>
      </c>
      <c r="N13" s="729">
        <v>760334</v>
      </c>
      <c r="O13" s="732">
        <v>25310000</v>
      </c>
      <c r="P13" s="731" t="s">
        <v>710</v>
      </c>
      <c r="Q13" s="729">
        <v>0</v>
      </c>
      <c r="R13" s="732">
        <v>0</v>
      </c>
      <c r="S13" s="731" t="s">
        <v>710</v>
      </c>
      <c r="T13" s="729">
        <v>0</v>
      </c>
      <c r="U13" s="732">
        <v>0</v>
      </c>
      <c r="V13" s="446">
        <f t="shared" si="0"/>
        <v>112221914</v>
      </c>
      <c r="W13" s="447">
        <f t="shared" si="1"/>
        <v>127969240</v>
      </c>
    </row>
    <row r="14" spans="1:23" ht="26.25">
      <c r="A14" s="731" t="s">
        <v>711</v>
      </c>
      <c r="B14" s="729">
        <v>153088898</v>
      </c>
      <c r="C14" s="732">
        <v>423919485</v>
      </c>
      <c r="D14" s="731" t="s">
        <v>711</v>
      </c>
      <c r="E14" s="729">
        <v>0</v>
      </c>
      <c r="F14" s="732">
        <v>0</v>
      </c>
      <c r="G14" s="731" t="s">
        <v>711</v>
      </c>
      <c r="H14" s="729">
        <v>0</v>
      </c>
      <c r="I14" s="732">
        <v>0</v>
      </c>
      <c r="J14" s="731" t="s">
        <v>711</v>
      </c>
      <c r="K14" s="729">
        <v>0</v>
      </c>
      <c r="L14" s="732">
        <v>0</v>
      </c>
      <c r="M14" s="731" t="s">
        <v>711</v>
      </c>
      <c r="N14" s="729">
        <v>0</v>
      </c>
      <c r="O14" s="732">
        <v>0</v>
      </c>
      <c r="P14" s="731" t="s">
        <v>711</v>
      </c>
      <c r="Q14" s="729">
        <v>0</v>
      </c>
      <c r="R14" s="732">
        <v>0</v>
      </c>
      <c r="S14" s="731" t="s">
        <v>711</v>
      </c>
      <c r="T14" s="729">
        <v>0</v>
      </c>
      <c r="U14" s="732">
        <v>0</v>
      </c>
      <c r="V14" s="446">
        <f t="shared" si="0"/>
        <v>153088898</v>
      </c>
      <c r="W14" s="447">
        <f t="shared" si="1"/>
        <v>423919485</v>
      </c>
    </row>
    <row r="15" spans="1:23" ht="12.75">
      <c r="A15" s="731" t="s">
        <v>712</v>
      </c>
      <c r="B15" s="729">
        <v>443385285</v>
      </c>
      <c r="C15" s="732">
        <v>118978117</v>
      </c>
      <c r="D15" s="731" t="s">
        <v>712</v>
      </c>
      <c r="E15" s="729">
        <v>55301</v>
      </c>
      <c r="F15" s="732">
        <v>2810</v>
      </c>
      <c r="G15" s="731" t="s">
        <v>712</v>
      </c>
      <c r="H15" s="729">
        <v>2626013</v>
      </c>
      <c r="I15" s="732">
        <v>9315</v>
      </c>
      <c r="J15" s="731" t="s">
        <v>712</v>
      </c>
      <c r="K15" s="729">
        <v>16573</v>
      </c>
      <c r="L15" s="732">
        <v>1700886</v>
      </c>
      <c r="M15" s="731" t="s">
        <v>712</v>
      </c>
      <c r="N15" s="729">
        <v>3830</v>
      </c>
      <c r="O15" s="732">
        <v>817485</v>
      </c>
      <c r="P15" s="731" t="s">
        <v>712</v>
      </c>
      <c r="Q15" s="729">
        <v>4064</v>
      </c>
      <c r="R15" s="732">
        <v>3551</v>
      </c>
      <c r="S15" s="731" t="s">
        <v>712</v>
      </c>
      <c r="T15" s="729">
        <v>0</v>
      </c>
      <c r="U15" s="732">
        <v>1180</v>
      </c>
      <c r="V15" s="446">
        <f t="shared" si="0"/>
        <v>446091066</v>
      </c>
      <c r="W15" s="447">
        <f t="shared" si="1"/>
        <v>121513344</v>
      </c>
    </row>
    <row r="16" spans="1:23" ht="26.25">
      <c r="A16" s="733" t="s">
        <v>713</v>
      </c>
      <c r="B16" s="730">
        <v>1372481258</v>
      </c>
      <c r="C16" s="734">
        <v>1469525425</v>
      </c>
      <c r="D16" s="733" t="s">
        <v>713</v>
      </c>
      <c r="E16" s="730">
        <v>161750027</v>
      </c>
      <c r="F16" s="734">
        <v>179635480</v>
      </c>
      <c r="G16" s="733" t="s">
        <v>713</v>
      </c>
      <c r="H16" s="730">
        <v>85753447</v>
      </c>
      <c r="I16" s="734">
        <v>87178449</v>
      </c>
      <c r="J16" s="733" t="s">
        <v>713</v>
      </c>
      <c r="K16" s="730">
        <v>365439535</v>
      </c>
      <c r="L16" s="734">
        <v>333744309</v>
      </c>
      <c r="M16" s="733" t="s">
        <v>713</v>
      </c>
      <c r="N16" s="730">
        <v>52475187</v>
      </c>
      <c r="O16" s="734">
        <v>80568547</v>
      </c>
      <c r="P16" s="733" t="s">
        <v>713</v>
      </c>
      <c r="Q16" s="730">
        <v>323654020</v>
      </c>
      <c r="R16" s="734">
        <v>333564526</v>
      </c>
      <c r="S16" s="733" t="s">
        <v>713</v>
      </c>
      <c r="T16" s="730">
        <v>0</v>
      </c>
      <c r="U16" s="734">
        <v>1397077</v>
      </c>
      <c r="V16" s="448">
        <f t="shared" si="0"/>
        <v>2361553474</v>
      </c>
      <c r="W16" s="449">
        <f t="shared" si="1"/>
        <v>2485613813</v>
      </c>
    </row>
    <row r="17" spans="1:23" ht="12.75">
      <c r="A17" s="731" t="s">
        <v>714</v>
      </c>
      <c r="B17" s="729">
        <v>3657352</v>
      </c>
      <c r="C17" s="732">
        <v>8507899</v>
      </c>
      <c r="D17" s="731" t="s">
        <v>714</v>
      </c>
      <c r="E17" s="729">
        <v>2170024</v>
      </c>
      <c r="F17" s="732">
        <v>1851503</v>
      </c>
      <c r="G17" s="731" t="s">
        <v>714</v>
      </c>
      <c r="H17" s="729">
        <v>922383</v>
      </c>
      <c r="I17" s="732">
        <v>1206518</v>
      </c>
      <c r="J17" s="731" t="s">
        <v>714</v>
      </c>
      <c r="K17" s="729">
        <v>86660062</v>
      </c>
      <c r="L17" s="732">
        <v>75481159</v>
      </c>
      <c r="M17" s="731" t="s">
        <v>714</v>
      </c>
      <c r="N17" s="729">
        <v>4947883</v>
      </c>
      <c r="O17" s="732">
        <v>2363429</v>
      </c>
      <c r="P17" s="731" t="s">
        <v>714</v>
      </c>
      <c r="Q17" s="729">
        <v>3357125</v>
      </c>
      <c r="R17" s="732">
        <v>1657201</v>
      </c>
      <c r="S17" s="731" t="s">
        <v>714</v>
      </c>
      <c r="T17" s="729">
        <v>0</v>
      </c>
      <c r="U17" s="732">
        <v>6828</v>
      </c>
      <c r="V17" s="446">
        <f t="shared" si="0"/>
        <v>101714829</v>
      </c>
      <c r="W17" s="447">
        <f t="shared" si="1"/>
        <v>91074537</v>
      </c>
    </row>
    <row r="18" spans="1:23" ht="12.75">
      <c r="A18" s="731" t="s">
        <v>715</v>
      </c>
      <c r="B18" s="729">
        <v>70510493</v>
      </c>
      <c r="C18" s="732">
        <v>99748618</v>
      </c>
      <c r="D18" s="731" t="s">
        <v>715</v>
      </c>
      <c r="E18" s="729">
        <v>12710219</v>
      </c>
      <c r="F18" s="732">
        <v>20034108</v>
      </c>
      <c r="G18" s="731" t="s">
        <v>715</v>
      </c>
      <c r="H18" s="729">
        <v>7857431</v>
      </c>
      <c r="I18" s="732">
        <v>7980045</v>
      </c>
      <c r="J18" s="731" t="s">
        <v>715</v>
      </c>
      <c r="K18" s="729">
        <v>33534804</v>
      </c>
      <c r="L18" s="732">
        <v>36273628</v>
      </c>
      <c r="M18" s="731" t="s">
        <v>715</v>
      </c>
      <c r="N18" s="729">
        <v>16657462</v>
      </c>
      <c r="O18" s="732">
        <v>17720121</v>
      </c>
      <c r="P18" s="731" t="s">
        <v>715</v>
      </c>
      <c r="Q18" s="729">
        <v>11619254</v>
      </c>
      <c r="R18" s="732">
        <v>12808011</v>
      </c>
      <c r="S18" s="731" t="s">
        <v>715</v>
      </c>
      <c r="T18" s="729">
        <v>0</v>
      </c>
      <c r="U18" s="732">
        <v>46982</v>
      </c>
      <c r="V18" s="446">
        <f t="shared" si="0"/>
        <v>152889663</v>
      </c>
      <c r="W18" s="447">
        <f t="shared" si="1"/>
        <v>194611513</v>
      </c>
    </row>
    <row r="19" spans="1:23" ht="12.75">
      <c r="A19" s="731" t="s">
        <v>716</v>
      </c>
      <c r="B19" s="729">
        <v>0</v>
      </c>
      <c r="C19" s="732">
        <v>0</v>
      </c>
      <c r="D19" s="731" t="s">
        <v>716</v>
      </c>
      <c r="E19" s="729">
        <v>0</v>
      </c>
      <c r="F19" s="732">
        <v>0</v>
      </c>
      <c r="G19" s="731" t="s">
        <v>716</v>
      </c>
      <c r="H19" s="729">
        <v>0</v>
      </c>
      <c r="I19" s="732">
        <v>0</v>
      </c>
      <c r="J19" s="731" t="s">
        <v>716</v>
      </c>
      <c r="K19" s="729">
        <v>0</v>
      </c>
      <c r="L19" s="732">
        <v>0</v>
      </c>
      <c r="M19" s="731" t="s">
        <v>716</v>
      </c>
      <c r="N19" s="729">
        <v>0</v>
      </c>
      <c r="O19" s="732">
        <v>0</v>
      </c>
      <c r="P19" s="731" t="s">
        <v>716</v>
      </c>
      <c r="Q19" s="729">
        <v>0</v>
      </c>
      <c r="R19" s="732">
        <v>0</v>
      </c>
      <c r="S19" s="731" t="s">
        <v>716</v>
      </c>
      <c r="T19" s="729">
        <v>0</v>
      </c>
      <c r="U19" s="732">
        <v>0</v>
      </c>
      <c r="V19" s="446">
        <f t="shared" si="0"/>
        <v>0</v>
      </c>
      <c r="W19" s="447">
        <f t="shared" si="1"/>
        <v>0</v>
      </c>
    </row>
    <row r="20" spans="1:23" ht="12.75">
      <c r="A20" s="731" t="s">
        <v>717</v>
      </c>
      <c r="B20" s="729">
        <v>9996384</v>
      </c>
      <c r="C20" s="732">
        <v>14028009</v>
      </c>
      <c r="D20" s="731" t="s">
        <v>717</v>
      </c>
      <c r="E20" s="729">
        <v>785475</v>
      </c>
      <c r="F20" s="732">
        <v>775065</v>
      </c>
      <c r="G20" s="731" t="s">
        <v>717</v>
      </c>
      <c r="H20" s="729">
        <v>2940</v>
      </c>
      <c r="I20" s="732">
        <v>0</v>
      </c>
      <c r="J20" s="731" t="s">
        <v>717</v>
      </c>
      <c r="K20" s="729">
        <v>5933158</v>
      </c>
      <c r="L20" s="732">
        <v>1943140</v>
      </c>
      <c r="M20" s="731" t="s">
        <v>717</v>
      </c>
      <c r="N20" s="729">
        <v>0</v>
      </c>
      <c r="O20" s="732">
        <v>0</v>
      </c>
      <c r="P20" s="731" t="s">
        <v>717</v>
      </c>
      <c r="Q20" s="729">
        <v>0</v>
      </c>
      <c r="R20" s="732">
        <v>0</v>
      </c>
      <c r="S20" s="731" t="s">
        <v>717</v>
      </c>
      <c r="T20" s="729">
        <v>0</v>
      </c>
      <c r="U20" s="732">
        <v>0</v>
      </c>
      <c r="V20" s="446">
        <f t="shared" si="0"/>
        <v>16717957</v>
      </c>
      <c r="W20" s="447">
        <f t="shared" si="1"/>
        <v>16746214</v>
      </c>
    </row>
    <row r="21" spans="1:23" ht="12.75">
      <c r="A21" s="733" t="s">
        <v>718</v>
      </c>
      <c r="B21" s="730">
        <v>84164229</v>
      </c>
      <c r="C21" s="734">
        <v>122284526</v>
      </c>
      <c r="D21" s="733" t="s">
        <v>718</v>
      </c>
      <c r="E21" s="730">
        <v>15665718</v>
      </c>
      <c r="F21" s="734">
        <v>22660676</v>
      </c>
      <c r="G21" s="733" t="s">
        <v>718</v>
      </c>
      <c r="H21" s="730">
        <v>8782754</v>
      </c>
      <c r="I21" s="734">
        <v>9186563</v>
      </c>
      <c r="J21" s="733" t="s">
        <v>718</v>
      </c>
      <c r="K21" s="730">
        <v>126128024</v>
      </c>
      <c r="L21" s="734">
        <v>113697927</v>
      </c>
      <c r="M21" s="733" t="s">
        <v>718</v>
      </c>
      <c r="N21" s="730">
        <v>21605345</v>
      </c>
      <c r="O21" s="734">
        <v>20083550</v>
      </c>
      <c r="P21" s="733" t="s">
        <v>718</v>
      </c>
      <c r="Q21" s="730">
        <v>14976379</v>
      </c>
      <c r="R21" s="734">
        <v>14465212</v>
      </c>
      <c r="S21" s="733" t="s">
        <v>718</v>
      </c>
      <c r="T21" s="730">
        <v>0</v>
      </c>
      <c r="U21" s="734">
        <v>53810</v>
      </c>
      <c r="V21" s="448">
        <f t="shared" si="0"/>
        <v>271322449</v>
      </c>
      <c r="W21" s="449">
        <f t="shared" si="1"/>
        <v>302432264</v>
      </c>
    </row>
    <row r="22" spans="1:23" ht="12.75">
      <c r="A22" s="731" t="s">
        <v>719</v>
      </c>
      <c r="B22" s="729">
        <v>13234062</v>
      </c>
      <c r="C22" s="732">
        <v>12779012</v>
      </c>
      <c r="D22" s="731" t="s">
        <v>719</v>
      </c>
      <c r="E22" s="729">
        <v>88455003</v>
      </c>
      <c r="F22" s="732">
        <v>117995324</v>
      </c>
      <c r="G22" s="731" t="s">
        <v>719</v>
      </c>
      <c r="H22" s="729">
        <v>47022583</v>
      </c>
      <c r="I22" s="732">
        <v>52019608</v>
      </c>
      <c r="J22" s="731" t="s">
        <v>719</v>
      </c>
      <c r="K22" s="729">
        <v>209900774</v>
      </c>
      <c r="L22" s="732">
        <v>185980037</v>
      </c>
      <c r="M22" s="731" t="s">
        <v>719</v>
      </c>
      <c r="N22" s="729">
        <v>29273326</v>
      </c>
      <c r="O22" s="732">
        <v>35754901</v>
      </c>
      <c r="P22" s="731" t="s">
        <v>719</v>
      </c>
      <c r="Q22" s="729">
        <v>221786091</v>
      </c>
      <c r="R22" s="732">
        <v>230742687</v>
      </c>
      <c r="S22" s="731" t="s">
        <v>719</v>
      </c>
      <c r="T22" s="729">
        <v>0</v>
      </c>
      <c r="U22" s="732">
        <v>1303633</v>
      </c>
      <c r="V22" s="446">
        <f t="shared" si="0"/>
        <v>609671839</v>
      </c>
      <c r="W22" s="447">
        <f t="shared" si="1"/>
        <v>636575202</v>
      </c>
    </row>
    <row r="23" spans="1:23" ht="12.75">
      <c r="A23" s="731" t="s">
        <v>720</v>
      </c>
      <c r="B23" s="729">
        <v>39350367</v>
      </c>
      <c r="C23" s="732">
        <v>33131975</v>
      </c>
      <c r="D23" s="731" t="s">
        <v>720</v>
      </c>
      <c r="E23" s="729">
        <v>19327366</v>
      </c>
      <c r="F23" s="732">
        <v>14808701</v>
      </c>
      <c r="G23" s="731" t="s">
        <v>720</v>
      </c>
      <c r="H23" s="729">
        <v>5116700</v>
      </c>
      <c r="I23" s="732">
        <v>7762158</v>
      </c>
      <c r="J23" s="731" t="s">
        <v>720</v>
      </c>
      <c r="K23" s="729">
        <v>20359481</v>
      </c>
      <c r="L23" s="732">
        <v>19105281</v>
      </c>
      <c r="M23" s="731" t="s">
        <v>720</v>
      </c>
      <c r="N23" s="729">
        <v>3477966</v>
      </c>
      <c r="O23" s="732">
        <v>7231548</v>
      </c>
      <c r="P23" s="731" t="s">
        <v>720</v>
      </c>
      <c r="Q23" s="729">
        <v>27443846</v>
      </c>
      <c r="R23" s="732">
        <v>27449915</v>
      </c>
      <c r="S23" s="731" t="s">
        <v>720</v>
      </c>
      <c r="T23" s="729">
        <v>0</v>
      </c>
      <c r="U23" s="732">
        <v>0</v>
      </c>
      <c r="V23" s="446">
        <f t="shared" si="0"/>
        <v>115075726</v>
      </c>
      <c r="W23" s="447">
        <f t="shared" si="1"/>
        <v>109489578</v>
      </c>
    </row>
    <row r="24" spans="1:23" ht="12.75">
      <c r="A24" s="731" t="s">
        <v>721</v>
      </c>
      <c r="B24" s="729">
        <v>12603417</v>
      </c>
      <c r="C24" s="732">
        <v>8765361</v>
      </c>
      <c r="D24" s="731" t="s">
        <v>721</v>
      </c>
      <c r="E24" s="729">
        <v>27210772</v>
      </c>
      <c r="F24" s="732">
        <v>28690939</v>
      </c>
      <c r="G24" s="731" t="s">
        <v>721</v>
      </c>
      <c r="H24" s="729">
        <v>10207644</v>
      </c>
      <c r="I24" s="732">
        <v>10811906</v>
      </c>
      <c r="J24" s="731" t="s">
        <v>721</v>
      </c>
      <c r="K24" s="729">
        <v>46336404</v>
      </c>
      <c r="L24" s="732">
        <v>39340169</v>
      </c>
      <c r="M24" s="731" t="s">
        <v>721</v>
      </c>
      <c r="N24" s="729">
        <v>7033475</v>
      </c>
      <c r="O24" s="732">
        <v>8158615</v>
      </c>
      <c r="P24" s="731" t="s">
        <v>721</v>
      </c>
      <c r="Q24" s="729">
        <v>51756671</v>
      </c>
      <c r="R24" s="732">
        <v>60992461</v>
      </c>
      <c r="S24" s="731" t="s">
        <v>721</v>
      </c>
      <c r="T24" s="729">
        <v>0</v>
      </c>
      <c r="U24" s="732">
        <v>228135</v>
      </c>
      <c r="V24" s="446">
        <f t="shared" si="0"/>
        <v>155148383</v>
      </c>
      <c r="W24" s="447">
        <f t="shared" si="1"/>
        <v>156987586</v>
      </c>
    </row>
    <row r="25" spans="1:23" ht="12.75">
      <c r="A25" s="733" t="s">
        <v>722</v>
      </c>
      <c r="B25" s="730">
        <v>65187846</v>
      </c>
      <c r="C25" s="734">
        <v>54676348</v>
      </c>
      <c r="D25" s="733" t="s">
        <v>722</v>
      </c>
      <c r="E25" s="730">
        <v>134993141</v>
      </c>
      <c r="F25" s="734">
        <v>161494964</v>
      </c>
      <c r="G25" s="733" t="s">
        <v>722</v>
      </c>
      <c r="H25" s="730">
        <v>62346927</v>
      </c>
      <c r="I25" s="734">
        <v>70593672</v>
      </c>
      <c r="J25" s="733" t="s">
        <v>722</v>
      </c>
      <c r="K25" s="730">
        <v>276596659</v>
      </c>
      <c r="L25" s="734">
        <v>244425487</v>
      </c>
      <c r="M25" s="733" t="s">
        <v>722</v>
      </c>
      <c r="N25" s="730">
        <v>39784767</v>
      </c>
      <c r="O25" s="734">
        <v>51145064</v>
      </c>
      <c r="P25" s="733" t="s">
        <v>722</v>
      </c>
      <c r="Q25" s="730">
        <v>300986608</v>
      </c>
      <c r="R25" s="734">
        <v>319185063</v>
      </c>
      <c r="S25" s="733" t="s">
        <v>722</v>
      </c>
      <c r="T25" s="730">
        <v>0</v>
      </c>
      <c r="U25" s="734">
        <v>1531768</v>
      </c>
      <c r="V25" s="448">
        <f t="shared" si="0"/>
        <v>879895948</v>
      </c>
      <c r="W25" s="449">
        <f t="shared" si="1"/>
        <v>903052366</v>
      </c>
    </row>
    <row r="26" spans="1:23" ht="12.75">
      <c r="A26" s="733" t="s">
        <v>723</v>
      </c>
      <c r="B26" s="730">
        <v>302093156</v>
      </c>
      <c r="C26" s="734">
        <v>219678645</v>
      </c>
      <c r="D26" s="733" t="s">
        <v>723</v>
      </c>
      <c r="E26" s="730">
        <v>1601662</v>
      </c>
      <c r="F26" s="734">
        <v>923798</v>
      </c>
      <c r="G26" s="733" t="s">
        <v>723</v>
      </c>
      <c r="H26" s="730">
        <v>4025436</v>
      </c>
      <c r="I26" s="734">
        <v>2529063</v>
      </c>
      <c r="J26" s="733" t="s">
        <v>723</v>
      </c>
      <c r="K26" s="730">
        <v>11808812</v>
      </c>
      <c r="L26" s="734">
        <v>9012531</v>
      </c>
      <c r="M26" s="733" t="s">
        <v>723</v>
      </c>
      <c r="N26" s="730">
        <v>1242239</v>
      </c>
      <c r="O26" s="734">
        <v>3553835</v>
      </c>
      <c r="P26" s="733" t="s">
        <v>723</v>
      </c>
      <c r="Q26" s="730">
        <v>755886</v>
      </c>
      <c r="R26" s="734">
        <v>339447</v>
      </c>
      <c r="S26" s="733" t="s">
        <v>723</v>
      </c>
      <c r="T26" s="730">
        <v>0</v>
      </c>
      <c r="U26" s="734">
        <v>0</v>
      </c>
      <c r="V26" s="448">
        <f t="shared" si="0"/>
        <v>321527191</v>
      </c>
      <c r="W26" s="449">
        <f t="shared" si="1"/>
        <v>236037319</v>
      </c>
    </row>
    <row r="27" spans="1:23" ht="12.75">
      <c r="A27" s="733" t="s">
        <v>724</v>
      </c>
      <c r="B27" s="730">
        <v>1730178273</v>
      </c>
      <c r="C27" s="734">
        <v>1326791898</v>
      </c>
      <c r="D27" s="733" t="s">
        <v>724</v>
      </c>
      <c r="E27" s="730">
        <v>4629542</v>
      </c>
      <c r="F27" s="734">
        <v>4804647</v>
      </c>
      <c r="G27" s="733" t="s">
        <v>724</v>
      </c>
      <c r="H27" s="730">
        <v>3743815</v>
      </c>
      <c r="I27" s="734">
        <v>2152679</v>
      </c>
      <c r="J27" s="733" t="s">
        <v>724</v>
      </c>
      <c r="K27" s="730">
        <v>19044715</v>
      </c>
      <c r="L27" s="734">
        <v>12328189</v>
      </c>
      <c r="M27" s="733" t="s">
        <v>724</v>
      </c>
      <c r="N27" s="730">
        <v>3935777</v>
      </c>
      <c r="O27" s="734">
        <v>2537641</v>
      </c>
      <c r="P27" s="733" t="s">
        <v>724</v>
      </c>
      <c r="Q27" s="730">
        <v>3756737</v>
      </c>
      <c r="R27" s="734">
        <v>3051253</v>
      </c>
      <c r="S27" s="733" t="s">
        <v>724</v>
      </c>
      <c r="T27" s="730">
        <v>0</v>
      </c>
      <c r="U27" s="734">
        <v>14264</v>
      </c>
      <c r="V27" s="448">
        <f t="shared" si="0"/>
        <v>1765288859</v>
      </c>
      <c r="W27" s="449">
        <f t="shared" si="1"/>
        <v>1351680571</v>
      </c>
    </row>
    <row r="28" spans="1:23" ht="26.25">
      <c r="A28" s="733" t="s">
        <v>725</v>
      </c>
      <c r="B28" s="730">
        <v>-152386030</v>
      </c>
      <c r="C28" s="734">
        <v>325375810</v>
      </c>
      <c r="D28" s="733" t="s">
        <v>725</v>
      </c>
      <c r="E28" s="730">
        <v>6549502</v>
      </c>
      <c r="F28" s="734">
        <v>-8594339</v>
      </c>
      <c r="G28" s="733" t="s">
        <v>725</v>
      </c>
      <c r="H28" s="730">
        <v>6854515</v>
      </c>
      <c r="I28" s="734">
        <v>2716472</v>
      </c>
      <c r="J28" s="733" t="s">
        <v>725</v>
      </c>
      <c r="K28" s="730">
        <v>-11</v>
      </c>
      <c r="L28" s="734">
        <v>12331432</v>
      </c>
      <c r="M28" s="733" t="s">
        <v>725</v>
      </c>
      <c r="N28" s="730">
        <v>139172</v>
      </c>
      <c r="O28" s="734">
        <v>18010726</v>
      </c>
      <c r="P28" s="733" t="s">
        <v>725</v>
      </c>
      <c r="Q28" s="730">
        <v>3191610</v>
      </c>
      <c r="R28" s="734">
        <v>-3453789</v>
      </c>
      <c r="S28" s="733" t="s">
        <v>725</v>
      </c>
      <c r="T28" s="730">
        <v>0</v>
      </c>
      <c r="U28" s="734">
        <v>-202765</v>
      </c>
      <c r="V28" s="448">
        <f t="shared" si="0"/>
        <v>-135651242</v>
      </c>
      <c r="W28" s="449">
        <f t="shared" si="1"/>
        <v>346183547</v>
      </c>
    </row>
    <row r="29" spans="1:23" ht="12.75">
      <c r="A29" s="731" t="s">
        <v>896</v>
      </c>
      <c r="B29" s="729">
        <v>0</v>
      </c>
      <c r="C29" s="732">
        <v>0</v>
      </c>
      <c r="D29" s="731" t="s">
        <v>896</v>
      </c>
      <c r="E29" s="729">
        <v>0</v>
      </c>
      <c r="F29" s="732">
        <v>0</v>
      </c>
      <c r="G29" s="731" t="s">
        <v>896</v>
      </c>
      <c r="H29" s="729">
        <v>0</v>
      </c>
      <c r="I29" s="732">
        <v>0</v>
      </c>
      <c r="J29" s="731" t="s">
        <v>896</v>
      </c>
      <c r="K29" s="729">
        <v>0</v>
      </c>
      <c r="L29" s="732">
        <v>0</v>
      </c>
      <c r="M29" s="731" t="s">
        <v>896</v>
      </c>
      <c r="N29" s="729">
        <v>0</v>
      </c>
      <c r="O29" s="732">
        <v>0</v>
      </c>
      <c r="P29" s="731" t="s">
        <v>896</v>
      </c>
      <c r="Q29" s="729">
        <v>0</v>
      </c>
      <c r="R29" s="732">
        <v>0</v>
      </c>
      <c r="S29" s="731" t="s">
        <v>896</v>
      </c>
      <c r="T29" s="729">
        <v>0</v>
      </c>
      <c r="U29" s="732">
        <v>0</v>
      </c>
      <c r="V29" s="446">
        <f t="shared" si="0"/>
        <v>0</v>
      </c>
      <c r="W29" s="447">
        <f t="shared" si="1"/>
        <v>0</v>
      </c>
    </row>
    <row r="30" spans="1:23" ht="26.25">
      <c r="A30" s="731" t="s">
        <v>897</v>
      </c>
      <c r="B30" s="729">
        <v>0</v>
      </c>
      <c r="C30" s="732">
        <v>0</v>
      </c>
      <c r="D30" s="731" t="s">
        <v>897</v>
      </c>
      <c r="E30" s="729">
        <v>0</v>
      </c>
      <c r="F30" s="732">
        <v>0</v>
      </c>
      <c r="G30" s="731" t="s">
        <v>897</v>
      </c>
      <c r="H30" s="729">
        <v>0</v>
      </c>
      <c r="I30" s="732">
        <v>0</v>
      </c>
      <c r="J30" s="731" t="s">
        <v>897</v>
      </c>
      <c r="K30" s="729">
        <v>0</v>
      </c>
      <c r="L30" s="732">
        <v>0</v>
      </c>
      <c r="M30" s="731" t="s">
        <v>897</v>
      </c>
      <c r="N30" s="729">
        <v>0</v>
      </c>
      <c r="O30" s="732">
        <v>0</v>
      </c>
      <c r="P30" s="731" t="s">
        <v>897</v>
      </c>
      <c r="Q30" s="729">
        <v>0</v>
      </c>
      <c r="R30" s="732">
        <v>0</v>
      </c>
      <c r="S30" s="731" t="s">
        <v>897</v>
      </c>
      <c r="T30" s="729">
        <v>0</v>
      </c>
      <c r="U30" s="732">
        <v>0</v>
      </c>
      <c r="V30" s="446">
        <f t="shared" si="0"/>
        <v>0</v>
      </c>
      <c r="W30" s="447">
        <f t="shared" si="1"/>
        <v>0</v>
      </c>
    </row>
    <row r="31" spans="1:23" ht="26.25">
      <c r="A31" s="731" t="s">
        <v>898</v>
      </c>
      <c r="B31" s="729">
        <v>0</v>
      </c>
      <c r="C31" s="732">
        <v>0</v>
      </c>
      <c r="D31" s="731" t="s">
        <v>898</v>
      </c>
      <c r="E31" s="729">
        <v>0</v>
      </c>
      <c r="F31" s="732">
        <v>0</v>
      </c>
      <c r="G31" s="731" t="s">
        <v>898</v>
      </c>
      <c r="H31" s="729">
        <v>0</v>
      </c>
      <c r="I31" s="732">
        <v>0</v>
      </c>
      <c r="J31" s="731" t="s">
        <v>898</v>
      </c>
      <c r="K31" s="729">
        <v>0</v>
      </c>
      <c r="L31" s="732">
        <v>0</v>
      </c>
      <c r="M31" s="731" t="s">
        <v>898</v>
      </c>
      <c r="N31" s="729">
        <v>0</v>
      </c>
      <c r="O31" s="732">
        <v>0</v>
      </c>
      <c r="P31" s="731" t="s">
        <v>898</v>
      </c>
      <c r="Q31" s="729">
        <v>0</v>
      </c>
      <c r="R31" s="732">
        <v>0</v>
      </c>
      <c r="S31" s="731" t="s">
        <v>898</v>
      </c>
      <c r="T31" s="729">
        <v>0</v>
      </c>
      <c r="U31" s="732">
        <v>0</v>
      </c>
      <c r="V31" s="446">
        <f t="shared" si="0"/>
        <v>0</v>
      </c>
      <c r="W31" s="447">
        <f t="shared" si="1"/>
        <v>0</v>
      </c>
    </row>
    <row r="32" spans="1:23" ht="26.25">
      <c r="A32" s="731" t="s">
        <v>726</v>
      </c>
      <c r="B32" s="729">
        <v>944</v>
      </c>
      <c r="C32" s="732">
        <v>566</v>
      </c>
      <c r="D32" s="731" t="s">
        <v>726</v>
      </c>
      <c r="E32" s="729">
        <v>3</v>
      </c>
      <c r="F32" s="732">
        <v>2</v>
      </c>
      <c r="G32" s="731" t="s">
        <v>726</v>
      </c>
      <c r="H32" s="729">
        <v>1</v>
      </c>
      <c r="I32" s="732">
        <v>2</v>
      </c>
      <c r="J32" s="731" t="s">
        <v>726</v>
      </c>
      <c r="K32" s="729">
        <v>11</v>
      </c>
      <c r="L32" s="732">
        <v>17</v>
      </c>
      <c r="M32" s="731" t="s">
        <v>726</v>
      </c>
      <c r="N32" s="729">
        <v>2</v>
      </c>
      <c r="O32" s="732">
        <v>22</v>
      </c>
      <c r="P32" s="731" t="s">
        <v>726</v>
      </c>
      <c r="Q32" s="729">
        <v>0</v>
      </c>
      <c r="R32" s="732">
        <v>1</v>
      </c>
      <c r="S32" s="731" t="s">
        <v>726</v>
      </c>
      <c r="T32" s="729">
        <v>0</v>
      </c>
      <c r="U32" s="732">
        <v>0</v>
      </c>
      <c r="V32" s="446">
        <f t="shared" si="0"/>
        <v>961</v>
      </c>
      <c r="W32" s="447">
        <f t="shared" si="1"/>
        <v>610</v>
      </c>
    </row>
    <row r="33" spans="1:23" ht="26.25">
      <c r="A33" s="731" t="s">
        <v>727</v>
      </c>
      <c r="B33" s="729">
        <v>322</v>
      </c>
      <c r="C33" s="732">
        <v>0</v>
      </c>
      <c r="D33" s="731" t="s">
        <v>727</v>
      </c>
      <c r="E33" s="729">
        <v>0</v>
      </c>
      <c r="F33" s="732">
        <v>5480</v>
      </c>
      <c r="G33" s="731" t="s">
        <v>727</v>
      </c>
      <c r="H33" s="729">
        <v>0</v>
      </c>
      <c r="I33" s="732">
        <v>0</v>
      </c>
      <c r="J33" s="731" t="s">
        <v>727</v>
      </c>
      <c r="K33" s="729">
        <v>0</v>
      </c>
      <c r="L33" s="732">
        <v>0</v>
      </c>
      <c r="M33" s="731" t="s">
        <v>727</v>
      </c>
      <c r="N33" s="729">
        <v>0</v>
      </c>
      <c r="O33" s="732">
        <v>0</v>
      </c>
      <c r="P33" s="731" t="s">
        <v>727</v>
      </c>
      <c r="Q33" s="729">
        <v>0</v>
      </c>
      <c r="R33" s="732">
        <v>0</v>
      </c>
      <c r="S33" s="731" t="s">
        <v>727</v>
      </c>
      <c r="T33" s="729">
        <v>0</v>
      </c>
      <c r="U33" s="732">
        <v>0</v>
      </c>
      <c r="V33" s="446">
        <f t="shared" si="0"/>
        <v>322</v>
      </c>
      <c r="W33" s="447">
        <f t="shared" si="1"/>
        <v>5480</v>
      </c>
    </row>
    <row r="34" spans="1:23" ht="39">
      <c r="A34" s="731" t="s">
        <v>899</v>
      </c>
      <c r="B34" s="729">
        <v>0</v>
      </c>
      <c r="C34" s="732">
        <v>0</v>
      </c>
      <c r="D34" s="731" t="s">
        <v>899</v>
      </c>
      <c r="E34" s="729">
        <v>0</v>
      </c>
      <c r="F34" s="732">
        <v>0</v>
      </c>
      <c r="G34" s="731" t="s">
        <v>899</v>
      </c>
      <c r="H34" s="729">
        <v>0</v>
      </c>
      <c r="I34" s="732">
        <v>0</v>
      </c>
      <c r="J34" s="731" t="s">
        <v>899</v>
      </c>
      <c r="K34" s="729">
        <v>0</v>
      </c>
      <c r="L34" s="732">
        <v>0</v>
      </c>
      <c r="M34" s="731" t="s">
        <v>899</v>
      </c>
      <c r="N34" s="729">
        <v>0</v>
      </c>
      <c r="O34" s="732">
        <v>0</v>
      </c>
      <c r="P34" s="731" t="s">
        <v>899</v>
      </c>
      <c r="Q34" s="729">
        <v>0</v>
      </c>
      <c r="R34" s="732">
        <v>0</v>
      </c>
      <c r="S34" s="731" t="s">
        <v>899</v>
      </c>
      <c r="T34" s="729">
        <v>0</v>
      </c>
      <c r="U34" s="732">
        <v>0</v>
      </c>
      <c r="V34" s="446">
        <f t="shared" si="0"/>
        <v>0</v>
      </c>
      <c r="W34" s="447">
        <f t="shared" si="1"/>
        <v>0</v>
      </c>
    </row>
    <row r="35" spans="1:23" ht="39">
      <c r="A35" s="731" t="s">
        <v>900</v>
      </c>
      <c r="B35" s="729">
        <v>0</v>
      </c>
      <c r="C35" s="732">
        <v>0</v>
      </c>
      <c r="D35" s="731" t="s">
        <v>900</v>
      </c>
      <c r="E35" s="729">
        <v>0</v>
      </c>
      <c r="F35" s="732">
        <v>0</v>
      </c>
      <c r="G35" s="731" t="s">
        <v>900</v>
      </c>
      <c r="H35" s="729">
        <v>0</v>
      </c>
      <c r="I35" s="732">
        <v>0</v>
      </c>
      <c r="J35" s="731" t="s">
        <v>900</v>
      </c>
      <c r="K35" s="729">
        <v>0</v>
      </c>
      <c r="L35" s="732">
        <v>0</v>
      </c>
      <c r="M35" s="731" t="s">
        <v>900</v>
      </c>
      <c r="N35" s="729">
        <v>0</v>
      </c>
      <c r="O35" s="732">
        <v>0</v>
      </c>
      <c r="P35" s="731" t="s">
        <v>900</v>
      </c>
      <c r="Q35" s="729">
        <v>0</v>
      </c>
      <c r="R35" s="732">
        <v>0</v>
      </c>
      <c r="S35" s="731" t="s">
        <v>900</v>
      </c>
      <c r="T35" s="729">
        <v>0</v>
      </c>
      <c r="U35" s="732">
        <v>0</v>
      </c>
      <c r="V35" s="446">
        <f t="shared" si="0"/>
        <v>0</v>
      </c>
      <c r="W35" s="447">
        <f t="shared" si="1"/>
        <v>0</v>
      </c>
    </row>
    <row r="36" spans="1:23" ht="26.25">
      <c r="A36" s="733" t="s">
        <v>728</v>
      </c>
      <c r="B36" s="730">
        <v>1266</v>
      </c>
      <c r="C36" s="734">
        <v>566</v>
      </c>
      <c r="D36" s="733" t="s">
        <v>728</v>
      </c>
      <c r="E36" s="730">
        <v>3</v>
      </c>
      <c r="F36" s="734">
        <v>5482</v>
      </c>
      <c r="G36" s="733" t="s">
        <v>728</v>
      </c>
      <c r="H36" s="730">
        <v>1</v>
      </c>
      <c r="I36" s="734">
        <v>2</v>
      </c>
      <c r="J36" s="733" t="s">
        <v>728</v>
      </c>
      <c r="K36" s="730">
        <v>11</v>
      </c>
      <c r="L36" s="734">
        <v>17</v>
      </c>
      <c r="M36" s="733" t="s">
        <v>728</v>
      </c>
      <c r="N36" s="730">
        <v>2</v>
      </c>
      <c r="O36" s="734">
        <v>22</v>
      </c>
      <c r="P36" s="733" t="s">
        <v>728</v>
      </c>
      <c r="Q36" s="730">
        <v>0</v>
      </c>
      <c r="R36" s="734">
        <v>1</v>
      </c>
      <c r="S36" s="733" t="s">
        <v>728</v>
      </c>
      <c r="T36" s="730">
        <v>0</v>
      </c>
      <c r="U36" s="734">
        <v>0</v>
      </c>
      <c r="V36" s="448">
        <f t="shared" si="0"/>
        <v>1283</v>
      </c>
      <c r="W36" s="449">
        <f t="shared" si="1"/>
        <v>6090</v>
      </c>
    </row>
    <row r="37" spans="1:23" ht="26.25">
      <c r="A37" s="731" t="s">
        <v>901</v>
      </c>
      <c r="B37" s="729">
        <v>0</v>
      </c>
      <c r="C37" s="732">
        <v>0</v>
      </c>
      <c r="D37" s="731" t="s">
        <v>901</v>
      </c>
      <c r="E37" s="729">
        <v>0</v>
      </c>
      <c r="F37" s="732">
        <v>0</v>
      </c>
      <c r="G37" s="731" t="s">
        <v>901</v>
      </c>
      <c r="H37" s="729">
        <v>0</v>
      </c>
      <c r="I37" s="732">
        <v>0</v>
      </c>
      <c r="J37" s="731" t="s">
        <v>901</v>
      </c>
      <c r="K37" s="729">
        <v>0</v>
      </c>
      <c r="L37" s="732">
        <v>0</v>
      </c>
      <c r="M37" s="731" t="s">
        <v>901</v>
      </c>
      <c r="N37" s="729">
        <v>0</v>
      </c>
      <c r="O37" s="732">
        <v>0</v>
      </c>
      <c r="P37" s="731" t="s">
        <v>901</v>
      </c>
      <c r="Q37" s="729">
        <v>0</v>
      </c>
      <c r="R37" s="732">
        <v>0</v>
      </c>
      <c r="S37" s="731" t="s">
        <v>901</v>
      </c>
      <c r="T37" s="729">
        <v>0</v>
      </c>
      <c r="U37" s="732">
        <v>0</v>
      </c>
      <c r="V37" s="446">
        <f t="shared" si="0"/>
        <v>0</v>
      </c>
      <c r="W37" s="447">
        <f t="shared" si="1"/>
        <v>0</v>
      </c>
    </row>
    <row r="38" spans="1:23" ht="39">
      <c r="A38" s="731" t="s">
        <v>902</v>
      </c>
      <c r="B38" s="729">
        <v>0</v>
      </c>
      <c r="C38" s="732">
        <v>0</v>
      </c>
      <c r="D38" s="731" t="s">
        <v>902</v>
      </c>
      <c r="E38" s="729">
        <v>0</v>
      </c>
      <c r="F38" s="732">
        <v>0</v>
      </c>
      <c r="G38" s="731" t="s">
        <v>902</v>
      </c>
      <c r="H38" s="729">
        <v>0</v>
      </c>
      <c r="I38" s="732">
        <v>0</v>
      </c>
      <c r="J38" s="731" t="s">
        <v>902</v>
      </c>
      <c r="K38" s="729">
        <v>0</v>
      </c>
      <c r="L38" s="732">
        <v>0</v>
      </c>
      <c r="M38" s="731" t="s">
        <v>902</v>
      </c>
      <c r="N38" s="729">
        <v>0</v>
      </c>
      <c r="O38" s="732">
        <v>0</v>
      </c>
      <c r="P38" s="731" t="s">
        <v>902</v>
      </c>
      <c r="Q38" s="729">
        <v>0</v>
      </c>
      <c r="R38" s="732">
        <v>0</v>
      </c>
      <c r="S38" s="731" t="s">
        <v>902</v>
      </c>
      <c r="T38" s="729">
        <v>0</v>
      </c>
      <c r="U38" s="732">
        <v>0</v>
      </c>
      <c r="V38" s="446">
        <f t="shared" si="0"/>
        <v>0</v>
      </c>
      <c r="W38" s="447">
        <f t="shared" si="1"/>
        <v>0</v>
      </c>
    </row>
    <row r="39" spans="1:23" ht="12.75">
      <c r="A39" s="731" t="s">
        <v>729</v>
      </c>
      <c r="B39" s="729">
        <v>0</v>
      </c>
      <c r="C39" s="732">
        <v>0</v>
      </c>
      <c r="D39" s="731" t="s">
        <v>729</v>
      </c>
      <c r="E39" s="729">
        <v>0</v>
      </c>
      <c r="F39" s="732">
        <v>0</v>
      </c>
      <c r="G39" s="731" t="s">
        <v>729</v>
      </c>
      <c r="H39" s="729">
        <v>0</v>
      </c>
      <c r="I39" s="732">
        <v>0</v>
      </c>
      <c r="J39" s="731" t="s">
        <v>729</v>
      </c>
      <c r="K39" s="729">
        <v>0</v>
      </c>
      <c r="L39" s="732">
        <v>0</v>
      </c>
      <c r="M39" s="731" t="s">
        <v>729</v>
      </c>
      <c r="N39" s="729">
        <v>0</v>
      </c>
      <c r="O39" s="732">
        <v>0</v>
      </c>
      <c r="P39" s="731" t="s">
        <v>729</v>
      </c>
      <c r="Q39" s="729">
        <v>0</v>
      </c>
      <c r="R39" s="732">
        <v>0</v>
      </c>
      <c r="S39" s="731" t="s">
        <v>729</v>
      </c>
      <c r="T39" s="729">
        <v>0</v>
      </c>
      <c r="U39" s="732">
        <v>0</v>
      </c>
      <c r="V39" s="446">
        <f t="shared" si="0"/>
        <v>0</v>
      </c>
      <c r="W39" s="447">
        <f t="shared" si="1"/>
        <v>0</v>
      </c>
    </row>
    <row r="40" spans="1:23" ht="26.25">
      <c r="A40" s="731" t="s">
        <v>730</v>
      </c>
      <c r="B40" s="729">
        <v>0</v>
      </c>
      <c r="C40" s="732">
        <v>0</v>
      </c>
      <c r="D40" s="731" t="s">
        <v>730</v>
      </c>
      <c r="E40" s="729">
        <v>0</v>
      </c>
      <c r="F40" s="732">
        <v>0</v>
      </c>
      <c r="G40" s="731" t="s">
        <v>730</v>
      </c>
      <c r="H40" s="729">
        <v>0</v>
      </c>
      <c r="I40" s="732">
        <v>0</v>
      </c>
      <c r="J40" s="731" t="s">
        <v>730</v>
      </c>
      <c r="K40" s="729">
        <v>0</v>
      </c>
      <c r="L40" s="732">
        <v>0</v>
      </c>
      <c r="M40" s="731" t="s">
        <v>730</v>
      </c>
      <c r="N40" s="729">
        <v>0</v>
      </c>
      <c r="O40" s="732">
        <v>0</v>
      </c>
      <c r="P40" s="731" t="s">
        <v>730</v>
      </c>
      <c r="Q40" s="729">
        <v>0</v>
      </c>
      <c r="R40" s="732">
        <v>0</v>
      </c>
      <c r="S40" s="731" t="s">
        <v>730</v>
      </c>
      <c r="T40" s="729">
        <v>0</v>
      </c>
      <c r="U40" s="732">
        <v>0</v>
      </c>
      <c r="V40" s="446">
        <f t="shared" si="0"/>
        <v>0</v>
      </c>
      <c r="W40" s="447">
        <f t="shared" si="1"/>
        <v>0</v>
      </c>
    </row>
    <row r="41" spans="1:23" ht="12.75">
      <c r="A41" s="731" t="s">
        <v>903</v>
      </c>
      <c r="B41" s="729">
        <v>0</v>
      </c>
      <c r="C41" s="732">
        <v>0</v>
      </c>
      <c r="D41" s="731" t="s">
        <v>903</v>
      </c>
      <c r="E41" s="729">
        <v>0</v>
      </c>
      <c r="F41" s="732">
        <v>0</v>
      </c>
      <c r="G41" s="731" t="s">
        <v>903</v>
      </c>
      <c r="H41" s="729">
        <v>0</v>
      </c>
      <c r="I41" s="732">
        <v>0</v>
      </c>
      <c r="J41" s="731" t="s">
        <v>903</v>
      </c>
      <c r="K41" s="729">
        <v>0</v>
      </c>
      <c r="L41" s="732">
        <v>0</v>
      </c>
      <c r="M41" s="731" t="s">
        <v>903</v>
      </c>
      <c r="N41" s="729">
        <v>0</v>
      </c>
      <c r="O41" s="732">
        <v>0</v>
      </c>
      <c r="P41" s="731" t="s">
        <v>903</v>
      </c>
      <c r="Q41" s="729">
        <v>0</v>
      </c>
      <c r="R41" s="732">
        <v>0</v>
      </c>
      <c r="S41" s="731" t="s">
        <v>903</v>
      </c>
      <c r="T41" s="729">
        <v>0</v>
      </c>
      <c r="U41" s="732">
        <v>0</v>
      </c>
      <c r="V41" s="446">
        <f t="shared" si="0"/>
        <v>0</v>
      </c>
      <c r="W41" s="447">
        <f t="shared" si="1"/>
        <v>0</v>
      </c>
    </row>
    <row r="42" spans="1:23" ht="26.25">
      <c r="A42" s="731" t="s">
        <v>904</v>
      </c>
      <c r="B42" s="729">
        <v>0</v>
      </c>
      <c r="C42" s="732">
        <v>0</v>
      </c>
      <c r="D42" s="731" t="s">
        <v>904</v>
      </c>
      <c r="E42" s="729">
        <v>0</v>
      </c>
      <c r="F42" s="732">
        <v>0</v>
      </c>
      <c r="G42" s="731" t="s">
        <v>904</v>
      </c>
      <c r="H42" s="729">
        <v>0</v>
      </c>
      <c r="I42" s="732">
        <v>0</v>
      </c>
      <c r="J42" s="731" t="s">
        <v>904</v>
      </c>
      <c r="K42" s="729">
        <v>0</v>
      </c>
      <c r="L42" s="732">
        <v>0</v>
      </c>
      <c r="M42" s="731" t="s">
        <v>904</v>
      </c>
      <c r="N42" s="729">
        <v>0</v>
      </c>
      <c r="O42" s="732">
        <v>0</v>
      </c>
      <c r="P42" s="731" t="s">
        <v>904</v>
      </c>
      <c r="Q42" s="729">
        <v>0</v>
      </c>
      <c r="R42" s="732">
        <v>0</v>
      </c>
      <c r="S42" s="731" t="s">
        <v>904</v>
      </c>
      <c r="T42" s="729">
        <v>0</v>
      </c>
      <c r="U42" s="732">
        <v>0</v>
      </c>
      <c r="V42" s="446">
        <f t="shared" si="0"/>
        <v>0</v>
      </c>
      <c r="W42" s="447">
        <f t="shared" si="1"/>
        <v>0</v>
      </c>
    </row>
    <row r="43" spans="1:23" ht="26.25">
      <c r="A43" s="731" t="s">
        <v>731</v>
      </c>
      <c r="B43" s="729">
        <v>0</v>
      </c>
      <c r="C43" s="732">
        <v>0</v>
      </c>
      <c r="D43" s="731" t="s">
        <v>731</v>
      </c>
      <c r="E43" s="729">
        <v>0</v>
      </c>
      <c r="F43" s="732">
        <v>0</v>
      </c>
      <c r="G43" s="731" t="s">
        <v>731</v>
      </c>
      <c r="H43" s="729">
        <v>0</v>
      </c>
      <c r="I43" s="732">
        <v>0</v>
      </c>
      <c r="J43" s="731" t="s">
        <v>731</v>
      </c>
      <c r="K43" s="729">
        <v>0</v>
      </c>
      <c r="L43" s="732">
        <v>0</v>
      </c>
      <c r="M43" s="731" t="s">
        <v>731</v>
      </c>
      <c r="N43" s="729">
        <v>0</v>
      </c>
      <c r="O43" s="732">
        <v>0</v>
      </c>
      <c r="P43" s="731" t="s">
        <v>731</v>
      </c>
      <c r="Q43" s="729">
        <v>0</v>
      </c>
      <c r="R43" s="732">
        <v>0</v>
      </c>
      <c r="S43" s="731" t="s">
        <v>731</v>
      </c>
      <c r="T43" s="729">
        <v>0</v>
      </c>
      <c r="U43" s="732">
        <v>0</v>
      </c>
      <c r="V43" s="446">
        <f t="shared" si="0"/>
        <v>0</v>
      </c>
      <c r="W43" s="447">
        <f t="shared" si="1"/>
        <v>0</v>
      </c>
    </row>
    <row r="44" spans="1:23" ht="39">
      <c r="A44" s="731" t="s">
        <v>905</v>
      </c>
      <c r="B44" s="729">
        <v>0</v>
      </c>
      <c r="C44" s="732">
        <v>0</v>
      </c>
      <c r="D44" s="731" t="s">
        <v>905</v>
      </c>
      <c r="E44" s="729">
        <v>0</v>
      </c>
      <c r="F44" s="732">
        <v>0</v>
      </c>
      <c r="G44" s="731" t="s">
        <v>905</v>
      </c>
      <c r="H44" s="729">
        <v>0</v>
      </c>
      <c r="I44" s="732">
        <v>0</v>
      </c>
      <c r="J44" s="731" t="s">
        <v>905</v>
      </c>
      <c r="K44" s="729">
        <v>0</v>
      </c>
      <c r="L44" s="732">
        <v>0</v>
      </c>
      <c r="M44" s="731" t="s">
        <v>905</v>
      </c>
      <c r="N44" s="729">
        <v>0</v>
      </c>
      <c r="O44" s="732">
        <v>0</v>
      </c>
      <c r="P44" s="731" t="s">
        <v>905</v>
      </c>
      <c r="Q44" s="729">
        <v>0</v>
      </c>
      <c r="R44" s="732">
        <v>0</v>
      </c>
      <c r="S44" s="731" t="s">
        <v>905</v>
      </c>
      <c r="T44" s="729">
        <v>0</v>
      </c>
      <c r="U44" s="732">
        <v>0</v>
      </c>
      <c r="V44" s="446">
        <f t="shared" si="0"/>
        <v>0</v>
      </c>
      <c r="W44" s="447">
        <f t="shared" si="1"/>
        <v>0</v>
      </c>
    </row>
    <row r="45" spans="1:23" ht="39">
      <c r="A45" s="731" t="s">
        <v>906</v>
      </c>
      <c r="B45" s="729">
        <v>0</v>
      </c>
      <c r="C45" s="732">
        <v>0</v>
      </c>
      <c r="D45" s="731" t="s">
        <v>906</v>
      </c>
      <c r="E45" s="729">
        <v>0</v>
      </c>
      <c r="F45" s="732">
        <v>0</v>
      </c>
      <c r="G45" s="731" t="s">
        <v>906</v>
      </c>
      <c r="H45" s="729">
        <v>0</v>
      </c>
      <c r="I45" s="732">
        <v>0</v>
      </c>
      <c r="J45" s="731" t="s">
        <v>906</v>
      </c>
      <c r="K45" s="729">
        <v>0</v>
      </c>
      <c r="L45" s="732">
        <v>0</v>
      </c>
      <c r="M45" s="731" t="s">
        <v>906</v>
      </c>
      <c r="N45" s="729">
        <v>0</v>
      </c>
      <c r="O45" s="732">
        <v>0</v>
      </c>
      <c r="P45" s="731" t="s">
        <v>906</v>
      </c>
      <c r="Q45" s="729">
        <v>0</v>
      </c>
      <c r="R45" s="732">
        <v>0</v>
      </c>
      <c r="S45" s="731" t="s">
        <v>906</v>
      </c>
      <c r="T45" s="729">
        <v>0</v>
      </c>
      <c r="U45" s="732">
        <v>0</v>
      </c>
      <c r="V45" s="446">
        <f t="shared" si="0"/>
        <v>0</v>
      </c>
      <c r="W45" s="447">
        <f t="shared" si="1"/>
        <v>0</v>
      </c>
    </row>
    <row r="46" spans="1:23" ht="26.25">
      <c r="A46" s="733" t="s">
        <v>732</v>
      </c>
      <c r="B46" s="730">
        <v>0</v>
      </c>
      <c r="C46" s="734">
        <v>0</v>
      </c>
      <c r="D46" s="733" t="s">
        <v>732</v>
      </c>
      <c r="E46" s="730">
        <v>0</v>
      </c>
      <c r="F46" s="734">
        <v>0</v>
      </c>
      <c r="G46" s="733" t="s">
        <v>732</v>
      </c>
      <c r="H46" s="730">
        <v>0</v>
      </c>
      <c r="I46" s="734">
        <v>0</v>
      </c>
      <c r="J46" s="733" t="s">
        <v>732</v>
      </c>
      <c r="K46" s="730">
        <v>0</v>
      </c>
      <c r="L46" s="734">
        <v>0</v>
      </c>
      <c r="M46" s="733" t="s">
        <v>732</v>
      </c>
      <c r="N46" s="730">
        <v>0</v>
      </c>
      <c r="O46" s="734">
        <v>0</v>
      </c>
      <c r="P46" s="733" t="s">
        <v>732</v>
      </c>
      <c r="Q46" s="730">
        <v>0</v>
      </c>
      <c r="R46" s="734">
        <v>0</v>
      </c>
      <c r="S46" s="733" t="s">
        <v>732</v>
      </c>
      <c r="T46" s="730">
        <v>0</v>
      </c>
      <c r="U46" s="734">
        <v>0</v>
      </c>
      <c r="V46" s="448">
        <f t="shared" si="0"/>
        <v>0</v>
      </c>
      <c r="W46" s="449">
        <f t="shared" si="1"/>
        <v>0</v>
      </c>
    </row>
    <row r="47" spans="1:23" ht="26.25">
      <c r="A47" s="733" t="s">
        <v>733</v>
      </c>
      <c r="B47" s="730">
        <v>1266</v>
      </c>
      <c r="C47" s="734">
        <v>566</v>
      </c>
      <c r="D47" s="733" t="s">
        <v>733</v>
      </c>
      <c r="E47" s="730">
        <v>3</v>
      </c>
      <c r="F47" s="734">
        <v>5482</v>
      </c>
      <c r="G47" s="733" t="s">
        <v>733</v>
      </c>
      <c r="H47" s="730">
        <v>1</v>
      </c>
      <c r="I47" s="734">
        <v>2</v>
      </c>
      <c r="J47" s="733" t="s">
        <v>733</v>
      </c>
      <c r="K47" s="730">
        <v>11</v>
      </c>
      <c r="L47" s="734">
        <v>17</v>
      </c>
      <c r="M47" s="733" t="s">
        <v>733</v>
      </c>
      <c r="N47" s="730">
        <v>2</v>
      </c>
      <c r="O47" s="734">
        <v>22</v>
      </c>
      <c r="P47" s="733" t="s">
        <v>733</v>
      </c>
      <c r="Q47" s="730">
        <v>0</v>
      </c>
      <c r="R47" s="734">
        <v>1</v>
      </c>
      <c r="S47" s="733" t="s">
        <v>733</v>
      </c>
      <c r="T47" s="730">
        <v>0</v>
      </c>
      <c r="U47" s="734">
        <v>0</v>
      </c>
      <c r="V47" s="448">
        <f t="shared" si="0"/>
        <v>1283</v>
      </c>
      <c r="W47" s="449">
        <f t="shared" si="1"/>
        <v>6090</v>
      </c>
    </row>
    <row r="48" spans="1:23" ht="13.5" thickBot="1">
      <c r="A48" s="735" t="s">
        <v>734</v>
      </c>
      <c r="B48" s="736">
        <v>-152384764</v>
      </c>
      <c r="C48" s="737">
        <v>325376376</v>
      </c>
      <c r="D48" s="735" t="s">
        <v>734</v>
      </c>
      <c r="E48" s="736">
        <v>6549505</v>
      </c>
      <c r="F48" s="737">
        <v>-8588857</v>
      </c>
      <c r="G48" s="735" t="s">
        <v>734</v>
      </c>
      <c r="H48" s="736">
        <v>6854516</v>
      </c>
      <c r="I48" s="737">
        <v>2716474</v>
      </c>
      <c r="J48" s="735" t="s">
        <v>734</v>
      </c>
      <c r="K48" s="736">
        <v>0</v>
      </c>
      <c r="L48" s="737">
        <v>12331449</v>
      </c>
      <c r="M48" s="735" t="s">
        <v>734</v>
      </c>
      <c r="N48" s="736">
        <v>139174</v>
      </c>
      <c r="O48" s="737">
        <v>18010748</v>
      </c>
      <c r="P48" s="735" t="s">
        <v>734</v>
      </c>
      <c r="Q48" s="736">
        <v>3191610</v>
      </c>
      <c r="R48" s="737">
        <v>-3453788</v>
      </c>
      <c r="S48" s="735" t="s">
        <v>734</v>
      </c>
      <c r="T48" s="736">
        <v>0</v>
      </c>
      <c r="U48" s="737">
        <v>-202765</v>
      </c>
      <c r="V48" s="450">
        <f>B48+E48+K48+N48+Q48+T48</f>
        <v>-142504475</v>
      </c>
      <c r="W48" s="451">
        <f t="shared" si="1"/>
        <v>346189637</v>
      </c>
    </row>
  </sheetData>
  <sheetProtection/>
  <mergeCells count="9">
    <mergeCell ref="V3:W3"/>
    <mergeCell ref="P3:R3"/>
    <mergeCell ref="A1:B1"/>
    <mergeCell ref="A3:C3"/>
    <mergeCell ref="D3:F3"/>
    <mergeCell ref="G3:I3"/>
    <mergeCell ref="J3:L3"/>
    <mergeCell ref="M3:O3"/>
    <mergeCell ref="S3:U3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8" scale="37" r:id="rId1"/>
  <headerFooter alignWithMargins="0">
    <oddHeader>&amp;L&amp;"Times New Roman CE,Félkövér"&amp;14Nagykáta Város Önkormányzata&amp;C&amp;"Times New Roman CE,Félkövér"&amp;14
&amp;18EREDMÉNYKIMUTATÁS
2019. &amp;R9. tájékozató a  7/2020.(VII.1.) rendelelethez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30"/>
  <sheetViews>
    <sheetView zoomScaleSheetLayoutView="100" workbookViewId="0" topLeftCell="C1">
      <selection activeCell="G19" sqref="G19"/>
    </sheetView>
  </sheetViews>
  <sheetFormatPr defaultColWidth="9.375" defaultRowHeight="12.75"/>
  <cols>
    <col min="1" max="1" width="6.75390625" style="9" customWidth="1"/>
    <col min="2" max="2" width="55.125" style="22" customWidth="1"/>
    <col min="3" max="5" width="16.375" style="9" customWidth="1"/>
    <col min="6" max="6" width="55.125" style="9" customWidth="1"/>
    <col min="7" max="9" width="16.375" style="9" customWidth="1"/>
    <col min="10" max="10" width="4.75390625" style="9" customWidth="1"/>
    <col min="11" max="16384" width="9.375" style="9" customWidth="1"/>
  </cols>
  <sheetData>
    <row r="1" spans="2:10" ht="39.75" customHeight="1">
      <c r="B1" s="250" t="s">
        <v>111</v>
      </c>
      <c r="C1" s="251"/>
      <c r="D1" s="251"/>
      <c r="E1" s="251"/>
      <c r="F1" s="251"/>
      <c r="G1" s="251"/>
      <c r="H1" s="251"/>
      <c r="I1" s="251"/>
      <c r="J1" s="723"/>
    </row>
    <row r="2" spans="7:10" ht="14.25" thickBot="1">
      <c r="G2" s="34"/>
      <c r="H2" s="34"/>
      <c r="I2" s="34" t="s">
        <v>670</v>
      </c>
      <c r="J2" s="723"/>
    </row>
    <row r="3" spans="1:10" ht="18" customHeight="1" thickBot="1">
      <c r="A3" s="873" t="s">
        <v>54</v>
      </c>
      <c r="B3" s="275" t="s">
        <v>41</v>
      </c>
      <c r="C3" s="276"/>
      <c r="D3" s="276"/>
      <c r="E3" s="276"/>
      <c r="F3" s="275" t="s">
        <v>42</v>
      </c>
      <c r="G3" s="277"/>
      <c r="H3" s="277"/>
      <c r="I3" s="277"/>
      <c r="J3" s="876" t="s">
        <v>885</v>
      </c>
    </row>
    <row r="4" spans="1:10" s="252" customFormat="1" ht="35.25" customHeight="1" thickBot="1">
      <c r="A4" s="874"/>
      <c r="B4" s="23" t="s">
        <v>47</v>
      </c>
      <c r="C4" s="24" t="str">
        <f>+CONCATENATE(LEFT('1.Pénzügyi mérleg'!C3,4),". évi eredeti előirányzat")</f>
        <v>2019. évi eredeti előirányzat</v>
      </c>
      <c r="D4" s="239" t="str">
        <f>+CONCATENATE(LEFT('1.Pénzügyi mérleg'!C3,4),". évi módosított előirányzat")</f>
        <v>2019. évi módosított előirányzat</v>
      </c>
      <c r="E4" s="24" t="str">
        <f>+CONCATENATE(LEFT('1.Pénzügyi mérleg'!C3,4),". évi teljesítés")</f>
        <v>2019. évi teljesítés</v>
      </c>
      <c r="F4" s="23" t="s">
        <v>47</v>
      </c>
      <c r="G4" s="24" t="str">
        <f>+C4</f>
        <v>2019. évi eredeti előirányzat</v>
      </c>
      <c r="H4" s="239" t="str">
        <f>+D4</f>
        <v>2019. évi módosított előirányzat</v>
      </c>
      <c r="I4" s="268" t="str">
        <f>+E4</f>
        <v>2019. évi teljesítés</v>
      </c>
      <c r="J4" s="876"/>
    </row>
    <row r="5" spans="1:10" s="253" customFormat="1" ht="12" customHeight="1" thickBot="1">
      <c r="A5" s="278" t="s">
        <v>372</v>
      </c>
      <c r="B5" s="279" t="s">
        <v>373</v>
      </c>
      <c r="C5" s="280" t="s">
        <v>374</v>
      </c>
      <c r="D5" s="280" t="s">
        <v>375</v>
      </c>
      <c r="E5" s="280" t="s">
        <v>376</v>
      </c>
      <c r="F5" s="279" t="s">
        <v>451</v>
      </c>
      <c r="G5" s="280" t="s">
        <v>452</v>
      </c>
      <c r="H5" s="280" t="s">
        <v>453</v>
      </c>
      <c r="I5" s="281" t="s">
        <v>454</v>
      </c>
      <c r="J5" s="876"/>
    </row>
    <row r="6" spans="1:10" ht="15" customHeight="1">
      <c r="A6" s="254" t="s">
        <v>6</v>
      </c>
      <c r="B6" s="255" t="s">
        <v>428</v>
      </c>
      <c r="C6" s="242">
        <f>'1.Pénzügyi mérleg'!C6+'1.Pénzügyi mérleg'!C14</f>
        <v>923473418</v>
      </c>
      <c r="D6" s="242">
        <f>'1.Pénzügyi mérleg'!D6+'1.Pénzügyi mérleg'!D14</f>
        <v>904055409</v>
      </c>
      <c r="E6" s="242">
        <f>'1.Pénzügyi mérleg'!E6+'1.Pénzügyi mérleg'!E14</f>
        <v>904055409</v>
      </c>
      <c r="F6" s="255" t="s">
        <v>48</v>
      </c>
      <c r="G6" s="242">
        <f>'1.Pénzügyi mérleg'!C93</f>
        <v>753058333</v>
      </c>
      <c r="H6" s="242">
        <f>'1.Pénzügyi mérleg'!D93</f>
        <v>824426096</v>
      </c>
      <c r="I6" s="242">
        <f>'1.Pénzügyi mérleg'!E93</f>
        <v>745323538</v>
      </c>
      <c r="J6" s="876"/>
    </row>
    <row r="7" spans="1:10" ht="15" customHeight="1">
      <c r="A7" s="256" t="s">
        <v>7</v>
      </c>
      <c r="B7" s="257" t="s">
        <v>429</v>
      </c>
      <c r="C7" s="243">
        <f>'1.Pénzügyi mérleg'!C13-'1.Pénzügyi mérleg'!C14</f>
        <v>90906433</v>
      </c>
      <c r="D7" s="243">
        <f>'1.Pénzügyi mérleg'!D13-'1.Pénzügyi mérleg'!D14</f>
        <v>151170918</v>
      </c>
      <c r="E7" s="243">
        <f>'1.Pénzügyi mérleg'!E13-'1.Pénzügyi mérleg'!E14</f>
        <v>126375052</v>
      </c>
      <c r="F7" s="257" t="s">
        <v>127</v>
      </c>
      <c r="G7" s="243">
        <f>'1.Pénzügyi mérleg'!C94</f>
        <v>145901613</v>
      </c>
      <c r="H7" s="243">
        <f>'1.Pénzügyi mérleg'!D94</f>
        <v>168895718</v>
      </c>
      <c r="I7" s="243">
        <f>'1.Pénzügyi mérleg'!E94</f>
        <v>152498974</v>
      </c>
      <c r="J7" s="876"/>
    </row>
    <row r="8" spans="1:10" ht="15" customHeight="1">
      <c r="A8" s="256" t="s">
        <v>8</v>
      </c>
      <c r="B8" s="257" t="s">
        <v>430</v>
      </c>
      <c r="C8" s="243"/>
      <c r="D8" s="243"/>
      <c r="E8" s="243"/>
      <c r="F8" s="257" t="s">
        <v>155</v>
      </c>
      <c r="G8" s="243">
        <f>'1.Pénzügyi mérleg'!C95</f>
        <v>374745309</v>
      </c>
      <c r="H8" s="243">
        <f>'1.Pénzügyi mérleg'!D95</f>
        <v>551645988</v>
      </c>
      <c r="I8" s="243">
        <f>'1.Pénzügyi mérleg'!E95</f>
        <v>476100939</v>
      </c>
      <c r="J8" s="876"/>
    </row>
    <row r="9" spans="1:10" ht="15" customHeight="1">
      <c r="A9" s="256" t="s">
        <v>9</v>
      </c>
      <c r="B9" s="257" t="s">
        <v>118</v>
      </c>
      <c r="C9" s="243">
        <f>'1.Pénzügyi mérleg'!C27</f>
        <v>440000000</v>
      </c>
      <c r="D9" s="243">
        <f>'1.Pénzügyi mérleg'!D27</f>
        <v>495945023</v>
      </c>
      <c r="E9" s="243">
        <f>'1.Pénzügyi mérleg'!E27</f>
        <v>516673875</v>
      </c>
      <c r="F9" s="257" t="s">
        <v>128</v>
      </c>
      <c r="G9" s="243">
        <f>'1.Pénzügyi mérleg'!C96</f>
        <v>38150000</v>
      </c>
      <c r="H9" s="243">
        <f>'1.Pénzügyi mérleg'!D96</f>
        <v>38150000</v>
      </c>
      <c r="I9" s="243">
        <f>'1.Pénzügyi mérleg'!E96</f>
        <v>17122562</v>
      </c>
      <c r="J9" s="876"/>
    </row>
    <row r="10" spans="1:10" ht="15" customHeight="1">
      <c r="A10" s="256" t="s">
        <v>10</v>
      </c>
      <c r="B10" s="258" t="s">
        <v>431</v>
      </c>
      <c r="C10" s="243">
        <f>'1.Pénzügyi mérleg'!C50</f>
        <v>0</v>
      </c>
      <c r="D10" s="243">
        <f>'1.Pénzügyi mérleg'!D50</f>
        <v>0</v>
      </c>
      <c r="E10" s="243">
        <f>'1.Pénzügyi mérleg'!E50</f>
        <v>1612188</v>
      </c>
      <c r="F10" s="257" t="s">
        <v>129</v>
      </c>
      <c r="G10" s="243">
        <f>'1.Pénzügyi mérleg'!C97</f>
        <v>226085388</v>
      </c>
      <c r="H10" s="243">
        <f>'1.Pénzügyi mérleg'!D97</f>
        <v>241009296</v>
      </c>
      <c r="I10" s="243">
        <f>'1.Pénzügyi mérleg'!E97</f>
        <v>136159010</v>
      </c>
      <c r="J10" s="876"/>
    </row>
    <row r="11" spans="1:10" ht="15" customHeight="1">
      <c r="A11" s="256" t="s">
        <v>11</v>
      </c>
      <c r="B11" s="257" t="s">
        <v>608</v>
      </c>
      <c r="C11" s="244">
        <f>'1.Pénzügyi mérleg'!C50</f>
        <v>0</v>
      </c>
      <c r="D11" s="244"/>
      <c r="E11" s="244"/>
      <c r="F11" s="257" t="s">
        <v>656</v>
      </c>
      <c r="G11" s="243">
        <f>'1.Pénzügyi mérleg'!C108</f>
        <v>83753823</v>
      </c>
      <c r="H11" s="243">
        <f>'1.Pénzügyi mérleg'!D108</f>
        <v>107574319</v>
      </c>
      <c r="I11" s="243">
        <f>'1.Pénzügyi mérleg'!E108</f>
        <v>0</v>
      </c>
      <c r="J11" s="876"/>
    </row>
    <row r="12" spans="1:10" ht="15" customHeight="1">
      <c r="A12" s="256" t="s">
        <v>12</v>
      </c>
      <c r="B12" s="257" t="s">
        <v>302</v>
      </c>
      <c r="C12" s="243">
        <f>'1.Pénzügyi mérleg'!C32</f>
        <v>172668842</v>
      </c>
      <c r="D12" s="243">
        <f>'1.Pénzügyi mérleg'!D32</f>
        <v>173828567</v>
      </c>
      <c r="E12" s="243">
        <f>'1.Pénzügyi mérleg'!E32</f>
        <v>169857840</v>
      </c>
      <c r="F12" s="6"/>
      <c r="G12" s="243"/>
      <c r="H12" s="243"/>
      <c r="I12" s="248"/>
      <c r="J12" s="875" t="str">
        <f>ÖSSZEFÜGGÉSEK!A40</f>
        <v> a 7/2020.(VII.1.) önkormányzati rendelethez</v>
      </c>
    </row>
    <row r="13" spans="1:10" ht="15" customHeight="1">
      <c r="A13" s="256" t="s">
        <v>13</v>
      </c>
      <c r="B13" s="6"/>
      <c r="C13" s="243"/>
      <c r="D13" s="243"/>
      <c r="E13" s="243"/>
      <c r="F13" s="6"/>
      <c r="G13" s="243"/>
      <c r="H13" s="243"/>
      <c r="I13" s="248"/>
      <c r="J13" s="875"/>
    </row>
    <row r="14" spans="1:10" ht="15" customHeight="1">
      <c r="A14" s="256" t="s">
        <v>14</v>
      </c>
      <c r="B14" s="267"/>
      <c r="C14" s="244"/>
      <c r="D14" s="244"/>
      <c r="E14" s="244"/>
      <c r="F14" s="6"/>
      <c r="G14" s="243"/>
      <c r="H14" s="243"/>
      <c r="I14" s="248"/>
      <c r="J14" s="875"/>
    </row>
    <row r="15" spans="1:10" ht="15" customHeight="1">
      <c r="A15" s="256" t="s">
        <v>15</v>
      </c>
      <c r="B15" s="6"/>
      <c r="C15" s="243"/>
      <c r="D15" s="243"/>
      <c r="E15" s="243"/>
      <c r="F15" s="6"/>
      <c r="G15" s="243"/>
      <c r="H15" s="243"/>
      <c r="I15" s="248"/>
      <c r="J15" s="875"/>
    </row>
    <row r="16" spans="1:10" ht="15" customHeight="1">
      <c r="A16" s="256" t="s">
        <v>16</v>
      </c>
      <c r="B16" s="6"/>
      <c r="C16" s="243"/>
      <c r="D16" s="243"/>
      <c r="E16" s="243"/>
      <c r="F16" s="6"/>
      <c r="G16" s="243"/>
      <c r="H16" s="243"/>
      <c r="I16" s="248"/>
      <c r="J16" s="875"/>
    </row>
    <row r="17" spans="1:10" ht="15" customHeight="1" thickBot="1">
      <c r="A17" s="256" t="s">
        <v>17</v>
      </c>
      <c r="B17" s="10"/>
      <c r="C17" s="245"/>
      <c r="D17" s="245"/>
      <c r="E17" s="245"/>
      <c r="F17" s="6"/>
      <c r="G17" s="245"/>
      <c r="H17" s="245"/>
      <c r="I17" s="249"/>
      <c r="J17" s="875"/>
    </row>
    <row r="18" spans="1:10" ht="17.25" customHeight="1" thickBot="1">
      <c r="A18" s="259" t="s">
        <v>18</v>
      </c>
      <c r="B18" s="241" t="s">
        <v>432</v>
      </c>
      <c r="C18" s="246">
        <f>+C6+C7+C9+C10+C12+C13+C14+C15+C16+C17</f>
        <v>1627048693</v>
      </c>
      <c r="D18" s="246">
        <f>+D6+D7+D9+D10+D12+D13+D14+D15+D16+D17</f>
        <v>1724999917</v>
      </c>
      <c r="E18" s="246">
        <f>+E6+E7+E9+E10+E12+E13+E14+E15+E16+E17</f>
        <v>1718574364</v>
      </c>
      <c r="F18" s="241" t="s">
        <v>438</v>
      </c>
      <c r="G18" s="246">
        <f>SUM(G6:G17)-G11+1</f>
        <v>1537940644</v>
      </c>
      <c r="H18" s="246">
        <f>SUM(H6:H17)-H11</f>
        <v>1824127098</v>
      </c>
      <c r="I18" s="246">
        <f>SUM(I6:I17)-I11</f>
        <v>1527205023</v>
      </c>
      <c r="J18" s="875"/>
    </row>
    <row r="19" spans="1:10" ht="15" customHeight="1">
      <c r="A19" s="260" t="s">
        <v>19</v>
      </c>
      <c r="B19" s="261" t="s">
        <v>433</v>
      </c>
      <c r="C19" s="35">
        <f>+C20+C21+C22+C23</f>
        <v>1450103678</v>
      </c>
      <c r="D19" s="35">
        <f>+D20+D21+D22+D23</f>
        <v>1701959805</v>
      </c>
      <c r="E19" s="35">
        <f>+E20+E21+E22+E23</f>
        <v>1516729533</v>
      </c>
      <c r="F19" s="262" t="s">
        <v>135</v>
      </c>
      <c r="G19" s="247"/>
      <c r="H19" s="247"/>
      <c r="I19" s="247"/>
      <c r="J19" s="875"/>
    </row>
    <row r="20" spans="1:10" ht="15" customHeight="1">
      <c r="A20" s="263" t="s">
        <v>20</v>
      </c>
      <c r="B20" s="262" t="s">
        <v>148</v>
      </c>
      <c r="C20" s="240">
        <f>'1.Pénzügyi mérleg'!C70</f>
        <v>562302933</v>
      </c>
      <c r="D20" s="240">
        <f>'1.Pénzügyi mérleg'!D70</f>
        <v>735397467</v>
      </c>
      <c r="E20" s="240">
        <f>'1.Pénzügyi mérleg'!E70</f>
        <v>735397467</v>
      </c>
      <c r="F20" s="262" t="s">
        <v>439</v>
      </c>
      <c r="G20" s="240"/>
      <c r="H20" s="240"/>
      <c r="I20" s="240"/>
      <c r="J20" s="875"/>
    </row>
    <row r="21" spans="1:10" ht="15" customHeight="1">
      <c r="A21" s="263" t="s">
        <v>21</v>
      </c>
      <c r="B21" s="262" t="s">
        <v>149</v>
      </c>
      <c r="C21" s="240"/>
      <c r="D21" s="240"/>
      <c r="E21" s="240"/>
      <c r="F21" s="262" t="s">
        <v>109</v>
      </c>
      <c r="G21" s="240"/>
      <c r="H21" s="240"/>
      <c r="I21" s="240"/>
      <c r="J21" s="875"/>
    </row>
    <row r="22" spans="1:10" ht="15" customHeight="1">
      <c r="A22" s="263" t="s">
        <v>22</v>
      </c>
      <c r="B22" s="262" t="s">
        <v>153</v>
      </c>
      <c r="C22" s="240"/>
      <c r="D22" s="240"/>
      <c r="E22" s="240"/>
      <c r="F22" s="262" t="s">
        <v>110</v>
      </c>
      <c r="G22" s="240"/>
      <c r="H22" s="240"/>
      <c r="I22" s="240"/>
      <c r="J22" s="875"/>
    </row>
    <row r="23" spans="1:10" ht="15" customHeight="1">
      <c r="A23" s="263" t="s">
        <v>23</v>
      </c>
      <c r="B23" s="262" t="s">
        <v>154</v>
      </c>
      <c r="C23" s="240">
        <f>'1.Pénzügyi mérleg'!C76</f>
        <v>887800745</v>
      </c>
      <c r="D23" s="240">
        <f>'1.Pénzügyi mérleg'!D76</f>
        <v>966562338</v>
      </c>
      <c r="E23" s="240">
        <f>'1.Pénzügyi mérleg'!E76</f>
        <v>781332066</v>
      </c>
      <c r="F23" s="261" t="s">
        <v>156</v>
      </c>
      <c r="G23" s="240"/>
      <c r="H23" s="240"/>
      <c r="I23" s="240"/>
      <c r="J23" s="875"/>
    </row>
    <row r="24" spans="1:10" ht="15" customHeight="1">
      <c r="A24" s="263" t="s">
        <v>24</v>
      </c>
      <c r="B24" s="262" t="s">
        <v>434</v>
      </c>
      <c r="C24" s="264">
        <f>+C25+C26</f>
        <v>0</v>
      </c>
      <c r="D24" s="264">
        <f>+D25+D26</f>
        <v>14466562</v>
      </c>
      <c r="E24" s="264">
        <f>+E25+E26</f>
        <v>45934599</v>
      </c>
      <c r="F24" s="262" t="s">
        <v>136</v>
      </c>
      <c r="G24" s="240"/>
      <c r="H24" s="240"/>
      <c r="I24" s="240"/>
      <c r="J24" s="875"/>
    </row>
    <row r="25" spans="1:10" ht="15" customHeight="1">
      <c r="A25" s="260" t="s">
        <v>25</v>
      </c>
      <c r="B25" s="261" t="s">
        <v>974</v>
      </c>
      <c r="C25" s="247"/>
      <c r="D25" s="247">
        <v>14466562</v>
      </c>
      <c r="E25" s="247">
        <v>45934599</v>
      </c>
      <c r="F25" s="255" t="s">
        <v>676</v>
      </c>
      <c r="G25" s="247">
        <f>'1.Pénzügyi mérleg'!C138</f>
        <v>27897658</v>
      </c>
      <c r="H25" s="247">
        <f>'1.Pénzügyi mérleg'!D138</f>
        <v>42285287</v>
      </c>
      <c r="I25" s="247">
        <f>'1.Pénzügyi mérleg'!E138</f>
        <v>42285287</v>
      </c>
      <c r="J25" s="875"/>
    </row>
    <row r="26" spans="1:10" ht="15" customHeight="1" thickBot="1">
      <c r="A26" s="263" t="s">
        <v>26</v>
      </c>
      <c r="B26" s="262" t="s">
        <v>435</v>
      </c>
      <c r="C26" s="240"/>
      <c r="D26" s="240"/>
      <c r="E26" s="240"/>
      <c r="F26" s="6" t="s">
        <v>675</v>
      </c>
      <c r="G26" s="240">
        <f>'1.Pénzügyi mérleg'!C139</f>
        <v>887800745</v>
      </c>
      <c r="H26" s="240">
        <f>'1.Pénzügyi mérleg'!D139</f>
        <v>966562338</v>
      </c>
      <c r="I26" s="240">
        <f>'1.Pénzügyi mérleg'!E139</f>
        <v>781332066</v>
      </c>
      <c r="J26" s="875"/>
    </row>
    <row r="27" spans="1:10" ht="17.25" customHeight="1" thickBot="1">
      <c r="A27" s="259" t="s">
        <v>27</v>
      </c>
      <c r="B27" s="241" t="s">
        <v>436</v>
      </c>
      <c r="C27" s="246">
        <f>+C19+C24</f>
        <v>1450103678</v>
      </c>
      <c r="D27" s="246">
        <f>+D19+D24</f>
        <v>1716426367</v>
      </c>
      <c r="E27" s="246">
        <f>+E19+E24</f>
        <v>1562664132</v>
      </c>
      <c r="F27" s="241" t="s">
        <v>440</v>
      </c>
      <c r="G27" s="246">
        <f>SUM(G19:G26)</f>
        <v>915698403</v>
      </c>
      <c r="H27" s="246">
        <f>SUM(H19:H26)</f>
        <v>1008847625</v>
      </c>
      <c r="I27" s="246">
        <f>SUM(I19:I26)</f>
        <v>823617353</v>
      </c>
      <c r="J27" s="875"/>
    </row>
    <row r="28" spans="1:10" ht="17.25" customHeight="1" thickBot="1">
      <c r="A28" s="259" t="s">
        <v>28</v>
      </c>
      <c r="B28" s="265" t="s">
        <v>437</v>
      </c>
      <c r="C28" s="88">
        <f>+C18+C27</f>
        <v>3077152371</v>
      </c>
      <c r="D28" s="88">
        <f>+D18+D27</f>
        <v>3441426284</v>
      </c>
      <c r="E28" s="266">
        <f>+E18+E27</f>
        <v>3281238496</v>
      </c>
      <c r="F28" s="265" t="s">
        <v>441</v>
      </c>
      <c r="G28" s="88">
        <f>+G18+G27</f>
        <v>2453639047</v>
      </c>
      <c r="H28" s="88">
        <f>+H18+H27</f>
        <v>2832974723</v>
      </c>
      <c r="I28" s="88">
        <f>+I18+I27</f>
        <v>2350822376</v>
      </c>
      <c r="J28" s="875"/>
    </row>
    <row r="29" spans="1:10" ht="17.25" customHeight="1" thickBot="1">
      <c r="A29" s="259" t="s">
        <v>29</v>
      </c>
      <c r="B29" s="265" t="s">
        <v>113</v>
      </c>
      <c r="C29" s="88" t="str">
        <f>IF(C18-G18&lt;0,G18-C18,"-")</f>
        <v>-</v>
      </c>
      <c r="D29" s="88">
        <f>IF(D18-H18&lt;0,H18-D18,"-")</f>
        <v>99127181</v>
      </c>
      <c r="E29" s="266" t="str">
        <f>IF(E18-I18&lt;0,I18-E18,"-")</f>
        <v>-</v>
      </c>
      <c r="F29" s="265" t="s">
        <v>114</v>
      </c>
      <c r="G29" s="88">
        <f>IF(C18-G18&gt;0,C18-G18,"-")</f>
        <v>89108049</v>
      </c>
      <c r="H29" s="88" t="str">
        <f>IF(D18-H18&gt;0,D18-H18,"-")</f>
        <v>-</v>
      </c>
      <c r="I29" s="88">
        <f>IF(E18-I18&gt;0,E18-I18,"-")</f>
        <v>191369341</v>
      </c>
      <c r="J29" s="875"/>
    </row>
    <row r="30" spans="1:10" ht="17.25" customHeight="1" thickBot="1">
      <c r="A30" s="259" t="s">
        <v>30</v>
      </c>
      <c r="B30" s="265" t="s">
        <v>157</v>
      </c>
      <c r="C30" s="88" t="str">
        <f>IF(C28-G28&lt;0,G28-C28,"-")</f>
        <v>-</v>
      </c>
      <c r="D30" s="88" t="str">
        <f>IF(D28-H28&lt;0,H28-D28,"-")</f>
        <v>-</v>
      </c>
      <c r="E30" s="266" t="str">
        <f>IF(E28-I28&lt;0,I28-E28,"-")</f>
        <v>-</v>
      </c>
      <c r="F30" s="265" t="s">
        <v>158</v>
      </c>
      <c r="G30" s="88">
        <f>IF(C28-G28&gt;0,C28-G28,"-")</f>
        <v>623513324</v>
      </c>
      <c r="H30" s="88">
        <f>IF(D28-H28&gt;0,D28-H28,"-")</f>
        <v>608451561</v>
      </c>
      <c r="I30" s="88">
        <f>IF(E28-I28&gt;0,E28-I28,"-")</f>
        <v>930416120</v>
      </c>
      <c r="J30" s="875"/>
    </row>
  </sheetData>
  <sheetProtection/>
  <mergeCells count="3">
    <mergeCell ref="A3:A4"/>
    <mergeCell ref="J12:J30"/>
    <mergeCell ref="J3:J1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33"/>
  <sheetViews>
    <sheetView view="pageBreakPreview" zoomScale="115" zoomScaleSheetLayoutView="115" workbookViewId="0" topLeftCell="C1">
      <selection activeCell="G10" sqref="G10:I10"/>
    </sheetView>
  </sheetViews>
  <sheetFormatPr defaultColWidth="9.375" defaultRowHeight="12.75"/>
  <cols>
    <col min="1" max="1" width="6.75390625" style="9" customWidth="1"/>
    <col min="2" max="2" width="55.125" style="22" customWidth="1"/>
    <col min="3" max="5" width="16.375" style="9" customWidth="1"/>
    <col min="6" max="6" width="55.125" style="9" customWidth="1"/>
    <col min="7" max="9" width="16.375" style="9" customWidth="1"/>
    <col min="10" max="10" width="4.75390625" style="9" customWidth="1"/>
    <col min="11" max="16384" width="9.375" style="9" customWidth="1"/>
  </cols>
  <sheetData>
    <row r="1" spans="2:10" ht="39.75" customHeight="1">
      <c r="B1" s="250" t="s">
        <v>112</v>
      </c>
      <c r="C1" s="251"/>
      <c r="D1" s="251"/>
      <c r="E1" s="251"/>
      <c r="F1" s="251"/>
      <c r="G1" s="251"/>
      <c r="H1" s="251"/>
      <c r="I1" s="251"/>
      <c r="J1" s="724"/>
    </row>
    <row r="2" spans="7:10" ht="14.25" thickBot="1">
      <c r="G2" s="34"/>
      <c r="H2" s="34"/>
      <c r="I2" s="34" t="s">
        <v>46</v>
      </c>
      <c r="J2" s="724"/>
    </row>
    <row r="3" spans="1:10" ht="24" customHeight="1" thickBot="1">
      <c r="A3" s="877" t="s">
        <v>54</v>
      </c>
      <c r="B3" s="275" t="s">
        <v>41</v>
      </c>
      <c r="C3" s="276"/>
      <c r="D3" s="276"/>
      <c r="E3" s="276"/>
      <c r="F3" s="275" t="s">
        <v>42</v>
      </c>
      <c r="G3" s="277"/>
      <c r="H3" s="277"/>
      <c r="I3" s="277"/>
      <c r="J3" s="724"/>
    </row>
    <row r="4" spans="1:10" s="252" customFormat="1" ht="35.25" customHeight="1" thickBot="1">
      <c r="A4" s="878"/>
      <c r="B4" s="23" t="s">
        <v>47</v>
      </c>
      <c r="C4" s="24" t="str">
        <f>+'2.1.Műküdési kiadások'!C4</f>
        <v>2019. évi eredeti előirányzat</v>
      </c>
      <c r="D4" s="239" t="str">
        <f>+'2.1.Műküdési kiadások'!D4</f>
        <v>2019. évi módosított előirányzat</v>
      </c>
      <c r="E4" s="24" t="str">
        <f>+'2.1.Műküdési kiadások'!E4</f>
        <v>2019. évi teljesítés</v>
      </c>
      <c r="F4" s="23" t="s">
        <v>47</v>
      </c>
      <c r="G4" s="24" t="str">
        <f>+'2.1.Műküdési kiadások'!C4</f>
        <v>2019. évi eredeti előirányzat</v>
      </c>
      <c r="H4" s="239" t="str">
        <f>+'2.1.Műküdési kiadások'!D4</f>
        <v>2019. évi módosított előirányzat</v>
      </c>
      <c r="I4" s="268" t="str">
        <f>+'2.1.Műküdési kiadások'!E4</f>
        <v>2019. évi teljesítés</v>
      </c>
      <c r="J4" s="724"/>
    </row>
    <row r="5" spans="1:10" s="252" customFormat="1" ht="13.5" thickBot="1">
      <c r="A5" s="278" t="s">
        <v>372</v>
      </c>
      <c r="B5" s="279" t="s">
        <v>373</v>
      </c>
      <c r="C5" s="280" t="s">
        <v>374</v>
      </c>
      <c r="D5" s="280" t="s">
        <v>375</v>
      </c>
      <c r="E5" s="280" t="s">
        <v>376</v>
      </c>
      <c r="F5" s="279" t="s">
        <v>451</v>
      </c>
      <c r="G5" s="280" t="s">
        <v>452</v>
      </c>
      <c r="H5" s="280" t="s">
        <v>453</v>
      </c>
      <c r="I5" s="281" t="s">
        <v>454</v>
      </c>
      <c r="J5" s="724"/>
    </row>
    <row r="6" spans="1:10" ht="12.75" customHeight="1">
      <c r="A6" s="254" t="s">
        <v>6</v>
      </c>
      <c r="B6" s="255" t="s">
        <v>442</v>
      </c>
      <c r="C6" s="242">
        <f>'1.Pénzügyi mérleg'!C20</f>
        <v>622839833</v>
      </c>
      <c r="D6" s="242">
        <f>'1.Pénzügyi mérleg'!D20</f>
        <v>1392287246</v>
      </c>
      <c r="E6" s="242">
        <f>'1.Pénzügyi mérleg'!E20</f>
        <v>450721714</v>
      </c>
      <c r="F6" s="255" t="s">
        <v>150</v>
      </c>
      <c r="G6" s="242">
        <f>'1.Pénzügyi mérleg'!C110</f>
        <v>933557483</v>
      </c>
      <c r="H6" s="242">
        <f>'1.Pénzügyi mérleg'!D110</f>
        <v>675364675</v>
      </c>
      <c r="I6" s="242">
        <f>'1.Pénzügyi mérleg'!E110</f>
        <v>316567572</v>
      </c>
      <c r="J6" s="724"/>
    </row>
    <row r="7" spans="1:10" ht="12.75">
      <c r="A7" s="256" t="s">
        <v>7</v>
      </c>
      <c r="B7" s="257" t="s">
        <v>443</v>
      </c>
      <c r="C7" s="243"/>
      <c r="D7" s="243"/>
      <c r="E7" s="243"/>
      <c r="F7" s="257" t="s">
        <v>455</v>
      </c>
      <c r="G7" s="243"/>
      <c r="H7" s="243"/>
      <c r="I7" s="248"/>
      <c r="J7" s="724"/>
    </row>
    <row r="8" spans="1:10" ht="12.75" customHeight="1">
      <c r="A8" s="256" t="s">
        <v>8</v>
      </c>
      <c r="B8" s="257" t="s">
        <v>444</v>
      </c>
      <c r="C8" s="243">
        <f>'1.Pénzügyi mérleg'!C44</f>
        <v>30000000</v>
      </c>
      <c r="D8" s="243">
        <f>'1.Pénzügyi mérleg'!D44</f>
        <v>30000000</v>
      </c>
      <c r="E8" s="243">
        <f>'1.Pénzügyi mérleg'!E44</f>
        <v>14575634</v>
      </c>
      <c r="F8" s="257" t="s">
        <v>131</v>
      </c>
      <c r="G8" s="243">
        <f>'1.Pénzügyi mérleg'!C112</f>
        <v>302795674</v>
      </c>
      <c r="H8" s="243">
        <f>'1.Pénzügyi mérleg'!D112</f>
        <v>1311454132</v>
      </c>
      <c r="I8" s="243">
        <f>'1.Pénzügyi mérleg'!E112</f>
        <v>256006172</v>
      </c>
      <c r="J8" s="724"/>
    </row>
    <row r="9" spans="1:10" ht="12.75" customHeight="1">
      <c r="A9" s="256" t="s">
        <v>9</v>
      </c>
      <c r="B9" s="257" t="s">
        <v>445</v>
      </c>
      <c r="C9" s="243">
        <f>'1.Pénzügyi mérleg'!C55</f>
        <v>0</v>
      </c>
      <c r="D9" s="243">
        <f>'1.Pénzügyi mérleg'!D55</f>
        <v>0</v>
      </c>
      <c r="E9" s="243">
        <f>'1.Pénzügyi mérleg'!E55</f>
        <v>1770165</v>
      </c>
      <c r="F9" s="257" t="s">
        <v>456</v>
      </c>
      <c r="G9" s="243"/>
      <c r="H9" s="243"/>
      <c r="I9" s="248"/>
      <c r="J9" s="880" t="s">
        <v>886</v>
      </c>
    </row>
    <row r="10" spans="1:10" ht="12.75" customHeight="1">
      <c r="A10" s="256" t="s">
        <v>10</v>
      </c>
      <c r="B10" s="257" t="s">
        <v>446</v>
      </c>
      <c r="C10" s="243"/>
      <c r="D10" s="243"/>
      <c r="E10" s="243"/>
      <c r="F10" s="257" t="s">
        <v>152</v>
      </c>
      <c r="G10" s="243">
        <f>'1.Pénzügyi mérleg'!C114</f>
        <v>40000000</v>
      </c>
      <c r="H10" s="243">
        <f>'1.Pénzügyi mérleg'!D114</f>
        <v>43920000</v>
      </c>
      <c r="I10" s="243">
        <f>'1.Pénzügyi mérleg'!E114</f>
        <v>20712658</v>
      </c>
      <c r="J10" s="880"/>
    </row>
    <row r="11" spans="1:10" ht="12.75" customHeight="1">
      <c r="A11" s="256" t="s">
        <v>11</v>
      </c>
      <c r="B11" s="257" t="s">
        <v>447</v>
      </c>
      <c r="C11" s="244"/>
      <c r="D11" s="244"/>
      <c r="E11" s="244"/>
      <c r="F11" s="295"/>
      <c r="G11" s="243"/>
      <c r="H11" s="243"/>
      <c r="I11" s="248"/>
      <c r="J11" s="880"/>
    </row>
    <row r="12" spans="1:10" ht="12.75" customHeight="1">
      <c r="A12" s="256" t="s">
        <v>12</v>
      </c>
      <c r="B12" s="6"/>
      <c r="C12" s="243"/>
      <c r="D12" s="243"/>
      <c r="E12" s="243"/>
      <c r="F12" s="295"/>
      <c r="G12" s="243"/>
      <c r="H12" s="243"/>
      <c r="I12" s="248"/>
      <c r="J12" s="880"/>
    </row>
    <row r="13" spans="1:10" ht="12.75" customHeight="1">
      <c r="A13" s="256" t="s">
        <v>13</v>
      </c>
      <c r="B13" s="6"/>
      <c r="C13" s="243"/>
      <c r="D13" s="243"/>
      <c r="E13" s="243"/>
      <c r="F13" s="296"/>
      <c r="G13" s="243"/>
      <c r="H13" s="243"/>
      <c r="I13" s="248"/>
      <c r="J13" s="880"/>
    </row>
    <row r="14" spans="1:10" ht="12.75" customHeight="1">
      <c r="A14" s="256" t="s">
        <v>14</v>
      </c>
      <c r="B14" s="293"/>
      <c r="C14" s="244"/>
      <c r="D14" s="244"/>
      <c r="E14" s="244"/>
      <c r="F14" s="295"/>
      <c r="G14" s="243"/>
      <c r="H14" s="243"/>
      <c r="I14" s="248"/>
      <c r="J14" s="880"/>
    </row>
    <row r="15" spans="1:10" ht="12.75">
      <c r="A15" s="256" t="s">
        <v>15</v>
      </c>
      <c r="B15" s="6"/>
      <c r="C15" s="244"/>
      <c r="D15" s="244"/>
      <c r="E15" s="244"/>
      <c r="F15" s="295"/>
      <c r="G15" s="243"/>
      <c r="H15" s="243"/>
      <c r="I15" s="248"/>
      <c r="J15" s="880"/>
    </row>
    <row r="16" spans="1:10" ht="12.75" customHeight="1" thickBot="1">
      <c r="A16" s="290" t="s">
        <v>16</v>
      </c>
      <c r="B16" s="294"/>
      <c r="C16" s="292"/>
      <c r="D16" s="94"/>
      <c r="E16" s="101"/>
      <c r="F16" s="291" t="s">
        <v>37</v>
      </c>
      <c r="G16" s="243"/>
      <c r="H16" s="243"/>
      <c r="I16" s="248"/>
      <c r="J16" s="880"/>
    </row>
    <row r="17" spans="1:10" ht="15.75" customHeight="1" thickBot="1">
      <c r="A17" s="259" t="s">
        <v>17</v>
      </c>
      <c r="B17" s="241" t="s">
        <v>448</v>
      </c>
      <c r="C17" s="246">
        <f>+C6+C8+C9+C11+C12+C13+C14+C15+C16</f>
        <v>652839833</v>
      </c>
      <c r="D17" s="246">
        <f>+D6+D8+D9+D11+D12+D13+D14+D15+D16</f>
        <v>1422287246</v>
      </c>
      <c r="E17" s="246">
        <f>+E6+E8+E9+E11+E12+E13+E14+E15+E16</f>
        <v>467067513</v>
      </c>
      <c r="F17" s="241" t="s">
        <v>457</v>
      </c>
      <c r="G17" s="246">
        <f>+G6+G8+G10+G11+G12+G13+G14+G15+G16</f>
        <v>1276353157</v>
      </c>
      <c r="H17" s="246">
        <f>+H6+H8+H10+H11+H12+H13+H14+H15+H16</f>
        <v>2030738807</v>
      </c>
      <c r="I17" s="274">
        <f>+I6+I8+I10+I11+I12+I13+I14+I15+I16</f>
        <v>593286402</v>
      </c>
      <c r="J17" s="879" t="str">
        <f>ÖSSZEFÜGGÉSEK!A40</f>
        <v> a 7/2020.(VII.1.) önkormányzati rendelethez</v>
      </c>
    </row>
    <row r="18" spans="1:10" ht="12.75" customHeight="1">
      <c r="A18" s="254" t="s">
        <v>18</v>
      </c>
      <c r="B18" s="282" t="s">
        <v>170</v>
      </c>
      <c r="C18" s="289">
        <f>+C19+C20+C21+C22+C23</f>
        <v>0</v>
      </c>
      <c r="D18" s="289">
        <f>+D19+D20+D21+D22+D23</f>
        <v>0</v>
      </c>
      <c r="E18" s="289">
        <f>+E19+E20+E21+E22+E23</f>
        <v>0</v>
      </c>
      <c r="F18" s="262" t="s">
        <v>135</v>
      </c>
      <c r="G18" s="90"/>
      <c r="H18" s="90"/>
      <c r="I18" s="269"/>
      <c r="J18" s="879"/>
    </row>
    <row r="19" spans="1:10" ht="12.75" customHeight="1">
      <c r="A19" s="256" t="s">
        <v>19</v>
      </c>
      <c r="B19" s="283" t="s">
        <v>159</v>
      </c>
      <c r="C19" s="240"/>
      <c r="D19" s="240"/>
      <c r="E19" s="240"/>
      <c r="F19" s="262" t="s">
        <v>138</v>
      </c>
      <c r="G19" s="240"/>
      <c r="H19" s="240"/>
      <c r="I19" s="270"/>
      <c r="J19" s="879"/>
    </row>
    <row r="20" spans="1:10" ht="12.75" customHeight="1">
      <c r="A20" s="254" t="s">
        <v>20</v>
      </c>
      <c r="B20" s="283" t="s">
        <v>160</v>
      </c>
      <c r="C20" s="240"/>
      <c r="D20" s="240"/>
      <c r="E20" s="240"/>
      <c r="F20" s="262" t="s">
        <v>109</v>
      </c>
      <c r="G20" s="240"/>
      <c r="H20" s="240"/>
      <c r="I20" s="270"/>
      <c r="J20" s="879"/>
    </row>
    <row r="21" spans="1:10" ht="12.75" customHeight="1">
      <c r="A21" s="256" t="s">
        <v>21</v>
      </c>
      <c r="B21" s="283" t="s">
        <v>161</v>
      </c>
      <c r="C21" s="240"/>
      <c r="D21" s="240"/>
      <c r="E21" s="240"/>
      <c r="F21" s="262" t="s">
        <v>110</v>
      </c>
      <c r="G21" s="240"/>
      <c r="H21" s="240"/>
      <c r="I21" s="270"/>
      <c r="J21" s="879"/>
    </row>
    <row r="22" spans="1:10" ht="12.75" customHeight="1">
      <c r="A22" s="254" t="s">
        <v>22</v>
      </c>
      <c r="B22" s="283" t="s">
        <v>162</v>
      </c>
      <c r="C22" s="240"/>
      <c r="D22" s="240"/>
      <c r="E22" s="240"/>
      <c r="F22" s="262" t="s">
        <v>156</v>
      </c>
      <c r="G22" s="240"/>
      <c r="H22" s="240"/>
      <c r="I22" s="270"/>
      <c r="J22" s="879"/>
    </row>
    <row r="23" spans="1:10" ht="12.75" customHeight="1">
      <c r="A23" s="256" t="s">
        <v>23</v>
      </c>
      <c r="B23" s="284" t="s">
        <v>163</v>
      </c>
      <c r="C23" s="240"/>
      <c r="D23" s="240"/>
      <c r="E23" s="240"/>
      <c r="F23" s="411" t="s">
        <v>657</v>
      </c>
      <c r="G23" s="240"/>
      <c r="H23" s="240"/>
      <c r="I23" s="270"/>
      <c r="J23" s="879"/>
    </row>
    <row r="24" spans="1:10" ht="12.75" customHeight="1">
      <c r="A24" s="254" t="s">
        <v>24</v>
      </c>
      <c r="B24" s="285" t="s">
        <v>164</v>
      </c>
      <c r="C24" s="264">
        <f>+C25+C26+C27+C28+C29</f>
        <v>0</v>
      </c>
      <c r="D24" s="264">
        <f>+D25+D26+D27+D28+D29</f>
        <v>0</v>
      </c>
      <c r="E24" s="264">
        <f>+E25+E26+E27+E28+E29</f>
        <v>0</v>
      </c>
      <c r="F24" s="286" t="s">
        <v>137</v>
      </c>
      <c r="G24" s="240"/>
      <c r="H24" s="240"/>
      <c r="I24" s="270"/>
      <c r="J24" s="879"/>
    </row>
    <row r="25" spans="1:10" ht="12.75" customHeight="1">
      <c r="A25" s="256" t="s">
        <v>25</v>
      </c>
      <c r="B25" s="284" t="s">
        <v>165</v>
      </c>
      <c r="C25" s="240"/>
      <c r="D25" s="240"/>
      <c r="E25" s="240"/>
      <c r="F25" s="286" t="s">
        <v>458</v>
      </c>
      <c r="G25" s="240"/>
      <c r="H25" s="240"/>
      <c r="I25" s="270"/>
      <c r="J25" s="879"/>
    </row>
    <row r="26" spans="1:10" ht="12.75" customHeight="1">
      <c r="A26" s="254" t="s">
        <v>26</v>
      </c>
      <c r="B26" s="284" t="s">
        <v>166</v>
      </c>
      <c r="C26" s="240"/>
      <c r="D26" s="240"/>
      <c r="E26" s="240"/>
      <c r="F26" s="262" t="s">
        <v>139</v>
      </c>
      <c r="G26" s="240"/>
      <c r="H26" s="240"/>
      <c r="I26" s="270"/>
      <c r="J26" s="879"/>
    </row>
    <row r="27" spans="1:10" ht="12.75" customHeight="1">
      <c r="A27" s="256" t="s">
        <v>27</v>
      </c>
      <c r="B27" s="283" t="s">
        <v>167</v>
      </c>
      <c r="C27" s="240"/>
      <c r="D27" s="240"/>
      <c r="E27" s="240"/>
      <c r="F27" s="262"/>
      <c r="G27" s="240"/>
      <c r="H27" s="240"/>
      <c r="I27" s="270"/>
      <c r="J27" s="879"/>
    </row>
    <row r="28" spans="1:10" ht="12.75" customHeight="1">
      <c r="A28" s="254" t="s">
        <v>28</v>
      </c>
      <c r="B28" s="287" t="s">
        <v>168</v>
      </c>
      <c r="C28" s="240"/>
      <c r="D28" s="240"/>
      <c r="E28" s="240"/>
      <c r="F28" s="6"/>
      <c r="G28" s="240"/>
      <c r="H28" s="240"/>
      <c r="I28" s="270"/>
      <c r="J28" s="879"/>
    </row>
    <row r="29" spans="1:10" ht="12.75" customHeight="1" thickBot="1">
      <c r="A29" s="256" t="s">
        <v>29</v>
      </c>
      <c r="B29" s="288" t="s">
        <v>169</v>
      </c>
      <c r="C29" s="240"/>
      <c r="D29" s="240"/>
      <c r="E29" s="240"/>
      <c r="F29" s="271"/>
      <c r="G29" s="240"/>
      <c r="H29" s="240"/>
      <c r="I29" s="270"/>
      <c r="J29" s="879"/>
    </row>
    <row r="30" spans="1:10" ht="13.5" thickBot="1">
      <c r="A30" s="259" t="s">
        <v>30</v>
      </c>
      <c r="B30" s="241" t="s">
        <v>449</v>
      </c>
      <c r="C30" s="246">
        <f>+C18+C24</f>
        <v>0</v>
      </c>
      <c r="D30" s="246">
        <f>+D18+D24</f>
        <v>0</v>
      </c>
      <c r="E30" s="246">
        <f>+E18+E24</f>
        <v>0</v>
      </c>
      <c r="F30" s="241" t="s">
        <v>460</v>
      </c>
      <c r="G30" s="246">
        <f>SUM(G18:G29)</f>
        <v>0</v>
      </c>
      <c r="H30" s="246">
        <f>SUM(H18:H29)</f>
        <v>0</v>
      </c>
      <c r="I30" s="274">
        <f>SUM(I18:I29)</f>
        <v>0</v>
      </c>
      <c r="J30" s="879"/>
    </row>
    <row r="31" spans="1:10" ht="16.5" customHeight="1" thickBot="1">
      <c r="A31" s="259" t="s">
        <v>31</v>
      </c>
      <c r="B31" s="265" t="s">
        <v>450</v>
      </c>
      <c r="C31" s="88">
        <f>+C17+C30</f>
        <v>652839833</v>
      </c>
      <c r="D31" s="88">
        <f>+D17+D30</f>
        <v>1422287246</v>
      </c>
      <c r="E31" s="266">
        <f>+E17+E30</f>
        <v>467067513</v>
      </c>
      <c r="F31" s="265" t="s">
        <v>459</v>
      </c>
      <c r="G31" s="88">
        <f>+G17+G30</f>
        <v>1276353157</v>
      </c>
      <c r="H31" s="88">
        <f>+H17+H30</f>
        <v>2030738807</v>
      </c>
      <c r="I31" s="89">
        <f>+I17+I30</f>
        <v>593286402</v>
      </c>
      <c r="J31" s="879"/>
    </row>
    <row r="32" spans="1:10" ht="16.5" customHeight="1" thickBot="1">
      <c r="A32" s="259" t="s">
        <v>32</v>
      </c>
      <c r="B32" s="265" t="s">
        <v>113</v>
      </c>
      <c r="C32" s="88">
        <f>IF(C17-G17&lt;0,G17-C17,"-")</f>
        <v>623513324</v>
      </c>
      <c r="D32" s="88">
        <f>IF(D17-H17&lt;0,H17-D17,"-")</f>
        <v>608451561</v>
      </c>
      <c r="E32" s="266">
        <f>IF(E17-I17&lt;0,I17-E17,"-")</f>
        <v>126218889</v>
      </c>
      <c r="F32" s="265" t="s">
        <v>114</v>
      </c>
      <c r="G32" s="88" t="str">
        <f>IF(C17-G17&gt;0,C17-G17,"-")</f>
        <v>-</v>
      </c>
      <c r="H32" s="88" t="str">
        <f>IF(D17-H17&gt;0,D17-H17,"-")</f>
        <v>-</v>
      </c>
      <c r="I32" s="89" t="str">
        <f>IF(E17-I17&gt;0,E17-I17,"-")</f>
        <v>-</v>
      </c>
      <c r="J32" s="879"/>
    </row>
    <row r="33" spans="1:10" ht="16.5" customHeight="1" thickBot="1">
      <c r="A33" s="259" t="s">
        <v>33</v>
      </c>
      <c r="B33" s="265" t="s">
        <v>157</v>
      </c>
      <c r="C33" s="88" t="str">
        <f>IF(C26-G26&lt;0,G26-C26,"-")</f>
        <v>-</v>
      </c>
      <c r="D33" s="88" t="str">
        <f>IF(D26-H26&lt;0,H26-D26,"-")</f>
        <v>-</v>
      </c>
      <c r="E33" s="266" t="str">
        <f>IF(E26-I26&lt;0,I26-E26,"-")</f>
        <v>-</v>
      </c>
      <c r="F33" s="265" t="s">
        <v>158</v>
      </c>
      <c r="G33" s="88" t="str">
        <f>IF(C26-G26&gt;0,C26-G26,"-")</f>
        <v>-</v>
      </c>
      <c r="H33" s="88" t="str">
        <f>IF(D26-H26&gt;0,D26-H26,"-")</f>
        <v>-</v>
      </c>
      <c r="I33" s="89" t="str">
        <f>IF(E26-I26&gt;0,E26-I26,"-")</f>
        <v>-</v>
      </c>
      <c r="J33" s="879"/>
    </row>
  </sheetData>
  <sheetProtection/>
  <mergeCells count="3">
    <mergeCell ref="A3:A4"/>
    <mergeCell ref="J17:J33"/>
    <mergeCell ref="J9:J1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G28" sqref="G28"/>
    </sheetView>
  </sheetViews>
  <sheetFormatPr defaultColWidth="9.375" defaultRowHeight="12.75"/>
  <cols>
    <col min="1" max="1" width="46.375" style="173" customWidth="1"/>
    <col min="2" max="2" width="13.75390625" style="173" customWidth="1"/>
    <col min="3" max="3" width="66.125" style="173" customWidth="1"/>
    <col min="4" max="5" width="13.75390625" style="173" customWidth="1"/>
    <col min="6" max="16384" width="9.375" style="173" customWidth="1"/>
  </cols>
  <sheetData>
    <row r="1" spans="1:5" ht="17.25">
      <c r="A1" s="297" t="s">
        <v>104</v>
      </c>
      <c r="E1" s="303" t="s">
        <v>108</v>
      </c>
    </row>
    <row r="3" spans="1:5" ht="12.75">
      <c r="A3" s="298"/>
      <c r="B3" s="304"/>
      <c r="C3" s="298"/>
      <c r="D3" s="305"/>
      <c r="E3" s="304"/>
    </row>
    <row r="4" spans="1:5" ht="15">
      <c r="A4" s="273" t="str">
        <f>+ÖSSZEFÜGGÉSEK!A4</f>
        <v>2019. évi eredeti előirányzat BEVÉTELEK</v>
      </c>
      <c r="B4" s="306"/>
      <c r="C4" s="299"/>
      <c r="D4" s="305"/>
      <c r="E4" s="304"/>
    </row>
    <row r="5" spans="1:5" ht="12.75">
      <c r="A5" s="298"/>
      <c r="B5" s="304"/>
      <c r="C5" s="298"/>
      <c r="D5" s="305"/>
      <c r="E5" s="304"/>
    </row>
    <row r="6" spans="1:5" ht="12.75">
      <c r="A6" s="298" t="s">
        <v>464</v>
      </c>
      <c r="B6" s="304">
        <f>+'1.Pénzügyi mérleg'!C60</f>
        <v>2279888526</v>
      </c>
      <c r="C6" s="298" t="s">
        <v>465</v>
      </c>
      <c r="D6" s="305">
        <f>+'2.1.Műküdési kiadások'!C18+'2.2.Felhalm.kiadások  '!C17</f>
        <v>2279888526</v>
      </c>
      <c r="E6" s="304">
        <f>+B6-D6</f>
        <v>0</v>
      </c>
    </row>
    <row r="7" spans="1:5" ht="12.75">
      <c r="A7" s="298" t="s">
        <v>466</v>
      </c>
      <c r="B7" s="304">
        <f>+'1.Pénzügyi mérleg'!C84</f>
        <v>1450103678</v>
      </c>
      <c r="C7" s="298" t="s">
        <v>467</v>
      </c>
      <c r="D7" s="305">
        <f>+'2.1.Műküdési kiadások'!C27+'2.2.Felhalm.kiadások  '!C30</f>
        <v>1450103678</v>
      </c>
      <c r="E7" s="304">
        <f>+B7-D7</f>
        <v>0</v>
      </c>
    </row>
    <row r="8" spans="1:5" ht="12.75">
      <c r="A8" s="298" t="s">
        <v>468</v>
      </c>
      <c r="B8" s="304">
        <f>+'1.Pénzügyi mérleg'!C85</f>
        <v>3729992204</v>
      </c>
      <c r="C8" s="298" t="s">
        <v>469</v>
      </c>
      <c r="D8" s="305">
        <f>+'2.1.Műküdési kiadások'!C28+'2.2.Felhalm.kiadások  '!C31</f>
        <v>3729992204</v>
      </c>
      <c r="E8" s="304">
        <f>+B8-D8</f>
        <v>0</v>
      </c>
    </row>
    <row r="9" spans="1:5" ht="12.75">
      <c r="A9" s="298"/>
      <c r="B9" s="304"/>
      <c r="C9" s="298"/>
      <c r="D9" s="305"/>
      <c r="E9" s="304"/>
    </row>
    <row r="10" spans="1:5" ht="15">
      <c r="A10" s="273" t="str">
        <f>+ÖSSZEFÜGGÉSEK!A10</f>
        <v>2019. évi módosított előirányzat BEVÉTELEK</v>
      </c>
      <c r="B10" s="306"/>
      <c r="C10" s="299"/>
      <c r="D10" s="305"/>
      <c r="E10" s="304"/>
    </row>
    <row r="11" spans="1:5" ht="12.75">
      <c r="A11" s="298"/>
      <c r="B11" s="304"/>
      <c r="C11" s="298"/>
      <c r="D11" s="305"/>
      <c r="E11" s="304"/>
    </row>
    <row r="12" spans="1:5" ht="12.75">
      <c r="A12" s="298" t="s">
        <v>470</v>
      </c>
      <c r="B12" s="304">
        <f>+'1.Pénzügyi mérleg'!D60</f>
        <v>3147287163</v>
      </c>
      <c r="C12" s="298" t="s">
        <v>476</v>
      </c>
      <c r="D12" s="305">
        <f>+'2.1.Műküdési kiadások'!D18+'2.2.Felhalm.kiadások  '!D17</f>
        <v>3147287163</v>
      </c>
      <c r="E12" s="304">
        <f>+B12-D12</f>
        <v>0</v>
      </c>
    </row>
    <row r="13" spans="1:5" ht="12.75">
      <c r="A13" s="298" t="s">
        <v>471</v>
      </c>
      <c r="B13" s="304">
        <f>+'1.Pénzügyi mérleg'!D84</f>
        <v>1716426367</v>
      </c>
      <c r="C13" s="298" t="s">
        <v>477</v>
      </c>
      <c r="D13" s="305">
        <f>+'2.1.Műküdési kiadások'!D27+'2.2.Felhalm.kiadások  '!D30</f>
        <v>1716426367</v>
      </c>
      <c r="E13" s="304">
        <f>+B13-D13</f>
        <v>0</v>
      </c>
    </row>
    <row r="14" spans="1:5" ht="12.75">
      <c r="A14" s="298" t="s">
        <v>472</v>
      </c>
      <c r="B14" s="304">
        <f>+'1.Pénzügyi mérleg'!D85</f>
        <v>4863713530</v>
      </c>
      <c r="C14" s="298" t="s">
        <v>478</v>
      </c>
      <c r="D14" s="305">
        <f>+'2.1.Műküdési kiadások'!D28+'2.2.Felhalm.kiadások  '!D31</f>
        <v>4863713530</v>
      </c>
      <c r="E14" s="304">
        <f>+B14-D14</f>
        <v>0</v>
      </c>
    </row>
    <row r="15" spans="1:5" ht="12.75">
      <c r="A15" s="298"/>
      <c r="B15" s="304"/>
      <c r="C15" s="298"/>
      <c r="D15" s="305"/>
      <c r="E15" s="304"/>
    </row>
    <row r="16" spans="1:5" ht="13.5">
      <c r="A16" s="307" t="str">
        <f>+ÖSSZEFÜGGÉSEK!A16</f>
        <v>2019. évi teljesítés BEVÉTELEK</v>
      </c>
      <c r="B16" s="272"/>
      <c r="C16" s="299"/>
      <c r="D16" s="305"/>
      <c r="E16" s="304"/>
    </row>
    <row r="17" spans="1:5" ht="12.75">
      <c r="A17" s="298"/>
      <c r="B17" s="304"/>
      <c r="C17" s="298"/>
      <c r="D17" s="305"/>
      <c r="E17" s="304"/>
    </row>
    <row r="18" spans="1:5" ht="12.75">
      <c r="A18" s="298" t="s">
        <v>473</v>
      </c>
      <c r="B18" s="304">
        <f>+'1.Pénzügyi mérleg'!E60</f>
        <v>2185641877</v>
      </c>
      <c r="C18" s="298" t="s">
        <v>479</v>
      </c>
      <c r="D18" s="305">
        <f>+'2.1.Műküdési kiadások'!E18+'2.2.Felhalm.kiadások  '!E17</f>
        <v>2185641877</v>
      </c>
      <c r="E18" s="304">
        <f>+B18-D18</f>
        <v>0</v>
      </c>
    </row>
    <row r="19" spans="1:5" ht="12.75">
      <c r="A19" s="298" t="s">
        <v>474</v>
      </c>
      <c r="B19" s="304">
        <f>+'1.Pénzügyi mérleg'!E84</f>
        <v>1562664132</v>
      </c>
      <c r="C19" s="298" t="s">
        <v>480</v>
      </c>
      <c r="D19" s="305">
        <f>+'2.1.Műküdési kiadások'!E27+'2.2.Felhalm.kiadások  '!E30</f>
        <v>1562664132</v>
      </c>
      <c r="E19" s="304">
        <f>+B19-D19</f>
        <v>0</v>
      </c>
    </row>
    <row r="20" spans="1:5" ht="12.75">
      <c r="A20" s="298" t="s">
        <v>475</v>
      </c>
      <c r="B20" s="304">
        <f>+'1.Pénzügyi mérleg'!E85</f>
        <v>3748306009</v>
      </c>
      <c r="C20" s="298" t="s">
        <v>481</v>
      </c>
      <c r="D20" s="305">
        <f>+'2.1.Műküdési kiadások'!E28+'2.2.Felhalm.kiadások  '!E31</f>
        <v>3748306009</v>
      </c>
      <c r="E20" s="304">
        <f>+B20-D20</f>
        <v>0</v>
      </c>
    </row>
    <row r="21" spans="1:5" ht="12.75">
      <c r="A21" s="298"/>
      <c r="B21" s="304"/>
      <c r="C21" s="298"/>
      <c r="D21" s="305"/>
      <c r="E21" s="304"/>
    </row>
    <row r="22" spans="1:5" ht="15">
      <c r="A22" s="273" t="str">
        <f>+ÖSSZEFÜGGÉSEK!A22</f>
        <v>2019. évi eredeti előirányzat KIADÁSOK</v>
      </c>
      <c r="B22" s="306"/>
      <c r="C22" s="299"/>
      <c r="D22" s="305"/>
      <c r="E22" s="304"/>
    </row>
    <row r="23" spans="1:5" ht="12.75">
      <c r="A23" s="298"/>
      <c r="B23" s="304"/>
      <c r="C23" s="298"/>
      <c r="D23" s="305"/>
      <c r="E23" s="304"/>
    </row>
    <row r="24" spans="1:5" ht="12.75">
      <c r="A24" s="298" t="s">
        <v>482</v>
      </c>
      <c r="B24" s="304">
        <f>+'1.Pénzügyi mérleg'!C126</f>
        <v>2814293801</v>
      </c>
      <c r="C24" s="298" t="s">
        <v>488</v>
      </c>
      <c r="D24" s="305">
        <f>+'2.1.Műküdési kiadások'!G18+'2.2.Felhalm.kiadások  '!G17</f>
        <v>2814293801</v>
      </c>
      <c r="E24" s="304">
        <f>+B24-D24</f>
        <v>0</v>
      </c>
    </row>
    <row r="25" spans="1:5" ht="12.75">
      <c r="A25" s="298" t="s">
        <v>461</v>
      </c>
      <c r="B25" s="304">
        <f>+'1.Pénzügyi mérleg'!C147</f>
        <v>915698403</v>
      </c>
      <c r="C25" s="298" t="s">
        <v>489</v>
      </c>
      <c r="D25" s="305">
        <f>+'2.1.Műküdési kiadások'!G27+'2.2.Felhalm.kiadások  '!G30</f>
        <v>915698403</v>
      </c>
      <c r="E25" s="304">
        <f>+B25-D25</f>
        <v>0</v>
      </c>
    </row>
    <row r="26" spans="1:5" ht="12.75">
      <c r="A26" s="298" t="s">
        <v>483</v>
      </c>
      <c r="B26" s="304">
        <f>+'1.Pénzügyi mérleg'!C148</f>
        <v>3729992204</v>
      </c>
      <c r="C26" s="298" t="s">
        <v>490</v>
      </c>
      <c r="D26" s="305">
        <f>+'2.1.Műküdési kiadások'!G28+'2.2.Felhalm.kiadások  '!G31</f>
        <v>3729992204</v>
      </c>
      <c r="E26" s="304">
        <f>+B26-D26</f>
        <v>0</v>
      </c>
    </row>
    <row r="27" spans="1:5" ht="12.75">
      <c r="A27" s="298"/>
      <c r="B27" s="304"/>
      <c r="C27" s="298"/>
      <c r="D27" s="305"/>
      <c r="E27" s="304"/>
    </row>
    <row r="28" spans="1:5" ht="15">
      <c r="A28" s="273" t="str">
        <f>+ÖSSZEFÜGGÉSEK!A28</f>
        <v>2019. évi módosított előirányzat KIADÁSOK</v>
      </c>
      <c r="B28" s="306"/>
      <c r="C28" s="299"/>
      <c r="D28" s="305"/>
      <c r="E28" s="304"/>
    </row>
    <row r="29" spans="1:5" ht="12.75">
      <c r="A29" s="298"/>
      <c r="B29" s="304"/>
      <c r="C29" s="298"/>
      <c r="D29" s="305"/>
      <c r="E29" s="304"/>
    </row>
    <row r="30" spans="1:5" ht="12.75">
      <c r="A30" s="298" t="s">
        <v>484</v>
      </c>
      <c r="B30" s="304">
        <f>+'1.Pénzügyi mérleg'!D126</f>
        <v>3854865905</v>
      </c>
      <c r="C30" s="298" t="s">
        <v>495</v>
      </c>
      <c r="D30" s="305">
        <f>+'2.1.Műküdési kiadások'!H18+'2.2.Felhalm.kiadások  '!H17</f>
        <v>3854865905</v>
      </c>
      <c r="E30" s="304">
        <f>+B30-D30</f>
        <v>0</v>
      </c>
    </row>
    <row r="31" spans="1:5" ht="12.75">
      <c r="A31" s="298" t="s">
        <v>462</v>
      </c>
      <c r="B31" s="304">
        <f>+'1.Pénzügyi mérleg'!D147</f>
        <v>1008847625</v>
      </c>
      <c r="C31" s="298" t="s">
        <v>492</v>
      </c>
      <c r="D31" s="305">
        <f>+'2.1.Műküdési kiadások'!H27+'2.2.Felhalm.kiadások  '!H30</f>
        <v>1008847625</v>
      </c>
      <c r="E31" s="304">
        <f>+B31-D31</f>
        <v>0</v>
      </c>
    </row>
    <row r="32" spans="1:5" ht="12.75">
      <c r="A32" s="298" t="s">
        <v>485</v>
      </c>
      <c r="B32" s="304">
        <f>+'1.Pénzügyi mérleg'!D148</f>
        <v>4863713530</v>
      </c>
      <c r="C32" s="298" t="s">
        <v>491</v>
      </c>
      <c r="D32" s="305">
        <f>+'2.1.Műküdési kiadások'!H28+'2.2.Felhalm.kiadások  '!H31</f>
        <v>4863713530</v>
      </c>
      <c r="E32" s="304">
        <f>+B32-D32</f>
        <v>0</v>
      </c>
    </row>
    <row r="33" spans="1:5" ht="12.75">
      <c r="A33" s="298"/>
      <c r="B33" s="304"/>
      <c r="C33" s="298"/>
      <c r="D33" s="305"/>
      <c r="E33" s="304"/>
    </row>
    <row r="34" spans="1:5" ht="15">
      <c r="A34" s="302" t="str">
        <f>+ÖSSZEFÜGGÉSEK!A34</f>
        <v>2019. évi teljesítés KIADÁSOK</v>
      </c>
      <c r="B34" s="306"/>
      <c r="C34" s="299"/>
      <c r="D34" s="305"/>
      <c r="E34" s="304"/>
    </row>
    <row r="35" spans="1:5" ht="12.75">
      <c r="A35" s="298"/>
      <c r="B35" s="304"/>
      <c r="C35" s="298"/>
      <c r="D35" s="305"/>
      <c r="E35" s="304"/>
    </row>
    <row r="36" spans="1:5" ht="12.75">
      <c r="A36" s="298" t="s">
        <v>486</v>
      </c>
      <c r="B36" s="304">
        <f>+'1.Pénzügyi mérleg'!E126</f>
        <v>2120491425</v>
      </c>
      <c r="C36" s="298" t="s">
        <v>496</v>
      </c>
      <c r="D36" s="305">
        <f>+'2.1.Műküdési kiadások'!I18+'2.2.Felhalm.kiadások  '!I17</f>
        <v>2120491425</v>
      </c>
      <c r="E36" s="304">
        <f>+B36-D36</f>
        <v>0</v>
      </c>
    </row>
    <row r="37" spans="1:5" ht="12.75">
      <c r="A37" s="298" t="s">
        <v>463</v>
      </c>
      <c r="B37" s="304">
        <f>+'1.Pénzügyi mérleg'!E147</f>
        <v>823617353</v>
      </c>
      <c r="C37" s="298" t="s">
        <v>494</v>
      </c>
      <c r="D37" s="305">
        <f>+'2.1.Műküdési kiadások'!I27+'2.2.Felhalm.kiadások  '!I30</f>
        <v>823617353</v>
      </c>
      <c r="E37" s="304">
        <f>+B37-D37</f>
        <v>0</v>
      </c>
    </row>
    <row r="38" spans="1:5" ht="12.75">
      <c r="A38" s="298" t="s">
        <v>487</v>
      </c>
      <c r="B38" s="304">
        <f>+'1.Pénzügyi mérleg'!E148</f>
        <v>2944108778</v>
      </c>
      <c r="C38" s="298" t="s">
        <v>493</v>
      </c>
      <c r="D38" s="305">
        <f>+'2.1.Műküdési kiadások'!I28+'2.2.Felhalm.kiadások  '!I31</f>
        <v>2944108778</v>
      </c>
      <c r="E38" s="304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H74"/>
  <sheetViews>
    <sheetView workbookViewId="0" topLeftCell="A19">
      <selection activeCell="F11" sqref="F11"/>
    </sheetView>
  </sheetViews>
  <sheetFormatPr defaultColWidth="9.375" defaultRowHeight="12.75"/>
  <cols>
    <col min="1" max="1" width="62.125" style="4" bestFit="1" customWidth="1"/>
    <col min="2" max="2" width="20.375" style="3" bestFit="1" customWidth="1"/>
    <col min="3" max="7" width="15.625" style="3" customWidth="1"/>
    <col min="8" max="8" width="5.125" style="3" customWidth="1"/>
    <col min="9" max="16384" width="9.375" style="3" customWidth="1"/>
  </cols>
  <sheetData>
    <row r="1" spans="1:8" ht="18" customHeight="1">
      <c r="A1" s="882" t="s">
        <v>0</v>
      </c>
      <c r="B1" s="882"/>
      <c r="C1" s="882"/>
      <c r="D1" s="882"/>
      <c r="E1" s="882"/>
      <c r="F1" s="882"/>
      <c r="G1" s="882"/>
      <c r="H1" s="883" t="str">
        <f>+CONCATENATE("3. melléklet a 7/",LEFT(ÖSSZEFÜGGÉSEK!A4,4)+1,". (VII.1) önkormányzati rendelethez")</f>
        <v>3. melléklet a 7/2020. (VII.1) önkormányzati rendelethez</v>
      </c>
    </row>
    <row r="2" spans="1:8" ht="22.5" customHeight="1" thickBot="1">
      <c r="A2" s="22"/>
      <c r="B2" s="9"/>
      <c r="C2" s="9"/>
      <c r="D2" s="9"/>
      <c r="E2" s="9"/>
      <c r="F2" s="881" t="s">
        <v>670</v>
      </c>
      <c r="G2" s="881"/>
      <c r="H2" s="883"/>
    </row>
    <row r="3" spans="1:8" s="5" customFormat="1" ht="50.25" customHeight="1" thickBot="1">
      <c r="A3" s="23" t="s">
        <v>50</v>
      </c>
      <c r="B3" s="24" t="s">
        <v>51</v>
      </c>
      <c r="C3" s="24" t="s">
        <v>52</v>
      </c>
      <c r="D3" s="24" t="str">
        <f>+CONCATENATE("Felhasználás ",LEFT(ÖSSZEFÜGGÉSEK!A4,4)-1,". XII.31-ig")</f>
        <v>Felhasználás 2018. XII.31-ig</v>
      </c>
      <c r="E3" s="24" t="str">
        <f>+CONCATENATE(LEFT(ÖSSZEFÜGGÉSEK!A4,4),". évi módosított előirányzat")</f>
        <v>2019. évi módosított előirányzat</v>
      </c>
      <c r="F3" s="92" t="str">
        <f>+CONCATENATE(LEFT(ÖSSZEFÜGGÉSEK!A4,4),". évi teljesítés")</f>
        <v>2019. évi teljesítés</v>
      </c>
      <c r="G3" s="91" t="str">
        <f>+CONCATENATE("Összes teljesítés ",LEFT(ÖSSZEFÜGGÉSEK!A4,4),". dec. 31-ig")</f>
        <v>Összes teljesítés 2019. dec. 31-ig</v>
      </c>
      <c r="H3" s="883"/>
    </row>
    <row r="4" spans="1:8" s="9" customFormat="1" ht="12" customHeight="1">
      <c r="A4" s="823" t="s">
        <v>372</v>
      </c>
      <c r="B4" s="824" t="s">
        <v>373</v>
      </c>
      <c r="C4" s="825" t="s">
        <v>374</v>
      </c>
      <c r="D4" s="817" t="s">
        <v>375</v>
      </c>
      <c r="E4" s="817" t="s">
        <v>376</v>
      </c>
      <c r="F4" s="826" t="s">
        <v>451</v>
      </c>
      <c r="G4" s="827" t="s">
        <v>497</v>
      </c>
      <c r="H4" s="883"/>
    </row>
    <row r="5" spans="1:8" ht="12.75">
      <c r="A5" s="829" t="s">
        <v>975</v>
      </c>
      <c r="B5" s="820">
        <f>390823+105522</f>
        <v>496345</v>
      </c>
      <c r="C5" s="834">
        <v>2019</v>
      </c>
      <c r="D5" s="821"/>
      <c r="E5" s="821">
        <v>496345</v>
      </c>
      <c r="F5" s="821">
        <v>496345</v>
      </c>
      <c r="G5" s="857">
        <v>496345</v>
      </c>
      <c r="H5" s="883"/>
    </row>
    <row r="6" spans="1:8" ht="15.75" customHeight="1">
      <c r="A6" s="829" t="s">
        <v>1039</v>
      </c>
      <c r="B6" s="820">
        <v>396883763</v>
      </c>
      <c r="C6" s="834">
        <v>2019</v>
      </c>
      <c r="D6" s="821">
        <v>14995000</v>
      </c>
      <c r="E6" s="821">
        <v>281921861</v>
      </c>
      <c r="F6" s="821">
        <v>281921861</v>
      </c>
      <c r="G6" s="42">
        <v>281921861</v>
      </c>
      <c r="H6" s="883"/>
    </row>
    <row r="7" spans="1:8" ht="15.75" customHeight="1">
      <c r="A7" s="829" t="s">
        <v>976</v>
      </c>
      <c r="B7" s="820">
        <f>13528504+13528504</f>
        <v>27057008</v>
      </c>
      <c r="C7" s="834">
        <v>2019</v>
      </c>
      <c r="D7" s="821"/>
      <c r="E7" s="820">
        <f>13528504+13528504</f>
        <v>27057008</v>
      </c>
      <c r="F7" s="820">
        <f>13528504+13528504</f>
        <v>27057008</v>
      </c>
      <c r="G7" s="42">
        <f>F7+D7</f>
        <v>27057008</v>
      </c>
      <c r="H7" s="883"/>
    </row>
    <row r="8" spans="1:8" ht="15.75" customHeight="1">
      <c r="A8" s="829" t="s">
        <v>977</v>
      </c>
      <c r="B8" s="820">
        <f>27559+B9+B10+B11</f>
        <v>304990</v>
      </c>
      <c r="C8" s="834">
        <v>2019</v>
      </c>
      <c r="D8" s="821"/>
      <c r="E8" s="820">
        <f>27559+E9+E10+E11</f>
        <v>304990</v>
      </c>
      <c r="F8" s="820">
        <f>27559+F9+F10+F11</f>
        <v>304990</v>
      </c>
      <c r="G8" s="42">
        <f aca="true" t="shared" si="0" ref="G8:G71">F8+D8</f>
        <v>304990</v>
      </c>
      <c r="H8" s="883"/>
    </row>
    <row r="9" spans="1:8" ht="15.75" customHeight="1">
      <c r="A9" s="829" t="s">
        <v>977</v>
      </c>
      <c r="B9" s="820">
        <v>212591</v>
      </c>
      <c r="C9" s="834">
        <v>2019</v>
      </c>
      <c r="D9" s="821"/>
      <c r="E9" s="820">
        <v>212591</v>
      </c>
      <c r="F9" s="820">
        <v>212591</v>
      </c>
      <c r="G9" s="42">
        <f t="shared" si="0"/>
        <v>212591</v>
      </c>
      <c r="H9" s="883"/>
    </row>
    <row r="10" spans="1:8" ht="12.75">
      <c r="A10" s="829" t="s">
        <v>977</v>
      </c>
      <c r="B10" s="820">
        <v>7441</v>
      </c>
      <c r="C10" s="834">
        <v>2019</v>
      </c>
      <c r="D10" s="821"/>
      <c r="E10" s="820">
        <v>7441</v>
      </c>
      <c r="F10" s="820">
        <v>7441</v>
      </c>
      <c r="G10" s="42">
        <f t="shared" si="0"/>
        <v>7441</v>
      </c>
      <c r="H10" s="883"/>
    </row>
    <row r="11" spans="1:8" ht="28.5" customHeight="1">
      <c r="A11" s="829" t="s">
        <v>977</v>
      </c>
      <c r="B11" s="820">
        <v>57399</v>
      </c>
      <c r="C11" s="834">
        <v>2019</v>
      </c>
      <c r="D11" s="821"/>
      <c r="E11" s="820">
        <v>57399</v>
      </c>
      <c r="F11" s="820">
        <v>57399</v>
      </c>
      <c r="G11" s="42">
        <f t="shared" si="0"/>
        <v>57399</v>
      </c>
      <c r="H11" s="883"/>
    </row>
    <row r="12" spans="1:8" ht="15.75" customHeight="1">
      <c r="A12" s="829" t="s">
        <v>978</v>
      </c>
      <c r="B12" s="820">
        <f>970380+818136</f>
        <v>1788516</v>
      </c>
      <c r="C12" s="834">
        <v>2019</v>
      </c>
      <c r="D12" s="822"/>
      <c r="E12" s="820">
        <f>970380+818136</f>
        <v>1788516</v>
      </c>
      <c r="F12" s="820">
        <f>970380+818136</f>
        <v>1788516</v>
      </c>
      <c r="G12" s="42">
        <f t="shared" si="0"/>
        <v>1788516</v>
      </c>
      <c r="H12" s="883"/>
    </row>
    <row r="13" spans="1:8" ht="46.5" customHeight="1">
      <c r="A13" s="829" t="s">
        <v>979</v>
      </c>
      <c r="B13" s="820">
        <f>25600+6912</f>
        <v>32512</v>
      </c>
      <c r="C13" s="834">
        <v>2019</v>
      </c>
      <c r="D13" s="822"/>
      <c r="E13" s="820">
        <f>25600+6912</f>
        <v>32512</v>
      </c>
      <c r="F13" s="820">
        <f>25600+6912</f>
        <v>32512</v>
      </c>
      <c r="G13" s="42">
        <f t="shared" si="0"/>
        <v>32512</v>
      </c>
      <c r="H13" s="883"/>
    </row>
    <row r="14" spans="1:8" ht="30" customHeight="1">
      <c r="A14" s="829" t="s">
        <v>980</v>
      </c>
      <c r="B14" s="820">
        <f>62992+17008</f>
        <v>80000</v>
      </c>
      <c r="C14" s="834">
        <v>2019</v>
      </c>
      <c r="D14" s="821"/>
      <c r="E14" s="820">
        <f>62992+17008</f>
        <v>80000</v>
      </c>
      <c r="F14" s="820">
        <f>62992+17008</f>
        <v>80000</v>
      </c>
      <c r="G14" s="42">
        <f t="shared" si="0"/>
        <v>80000</v>
      </c>
      <c r="H14" s="883"/>
    </row>
    <row r="15" spans="1:8" ht="15.75" customHeight="1">
      <c r="A15" s="829" t="s">
        <v>981</v>
      </c>
      <c r="B15" s="820">
        <f>1590000+429300</f>
        <v>2019300</v>
      </c>
      <c r="C15" s="834">
        <v>2019</v>
      </c>
      <c r="D15" s="821"/>
      <c r="E15" s="820">
        <f>1590000+429300</f>
        <v>2019300</v>
      </c>
      <c r="F15" s="820">
        <f>1590000+429300</f>
        <v>2019300</v>
      </c>
      <c r="G15" s="42">
        <f t="shared" si="0"/>
        <v>2019300</v>
      </c>
      <c r="H15" s="883"/>
    </row>
    <row r="16" spans="1:8" ht="15.75" customHeight="1">
      <c r="A16" s="829" t="s">
        <v>982</v>
      </c>
      <c r="B16" s="820">
        <f>950500+256635</f>
        <v>1207135</v>
      </c>
      <c r="C16" s="834">
        <v>2019</v>
      </c>
      <c r="D16" s="821"/>
      <c r="E16" s="820">
        <f>950500+256635</f>
        <v>1207135</v>
      </c>
      <c r="F16" s="820">
        <f>950500+256635</f>
        <v>1207135</v>
      </c>
      <c r="G16" s="42">
        <f t="shared" si="0"/>
        <v>1207135</v>
      </c>
      <c r="H16" s="883"/>
    </row>
    <row r="17" spans="1:8" ht="15.75" customHeight="1">
      <c r="A17" s="829" t="s">
        <v>983</v>
      </c>
      <c r="B17" s="820">
        <f>1086200+296274</f>
        <v>1382474</v>
      </c>
      <c r="C17" s="834">
        <v>2019</v>
      </c>
      <c r="D17" s="821"/>
      <c r="E17" s="820">
        <f>1086200+296274</f>
        <v>1382474</v>
      </c>
      <c r="F17" s="820">
        <f>1086200+296274</f>
        <v>1382474</v>
      </c>
      <c r="G17" s="42">
        <f t="shared" si="0"/>
        <v>1382474</v>
      </c>
      <c r="H17" s="883"/>
    </row>
    <row r="18" spans="1:8" ht="15.75" customHeight="1">
      <c r="A18" s="829" t="s">
        <v>984</v>
      </c>
      <c r="B18" s="820">
        <f>38583+10417</f>
        <v>49000</v>
      </c>
      <c r="C18" s="834">
        <v>2019</v>
      </c>
      <c r="D18" s="821"/>
      <c r="E18" s="820">
        <f>38583+10417</f>
        <v>49000</v>
      </c>
      <c r="F18" s="820">
        <f>38583+10417</f>
        <v>49000</v>
      </c>
      <c r="G18" s="42">
        <f t="shared" si="0"/>
        <v>49000</v>
      </c>
      <c r="H18" s="883"/>
    </row>
    <row r="19" spans="1:8" ht="15.75" customHeight="1">
      <c r="A19" s="829" t="s">
        <v>985</v>
      </c>
      <c r="B19" s="820">
        <f>3712000+1002240</f>
        <v>4714240</v>
      </c>
      <c r="C19" s="834">
        <v>2019</v>
      </c>
      <c r="D19" s="821"/>
      <c r="E19" s="820">
        <f>3712000+1002240</f>
        <v>4714240</v>
      </c>
      <c r="F19" s="820">
        <f>3712000+1002240</f>
        <v>4714240</v>
      </c>
      <c r="G19" s="42">
        <f t="shared" si="0"/>
        <v>4714240</v>
      </c>
      <c r="H19" s="883"/>
    </row>
    <row r="20" spans="1:8" ht="15.75" customHeight="1">
      <c r="A20" s="829" t="s">
        <v>986</v>
      </c>
      <c r="B20" s="820">
        <f>88969+24021</f>
        <v>112990</v>
      </c>
      <c r="C20" s="834">
        <v>2019</v>
      </c>
      <c r="D20" s="821"/>
      <c r="E20" s="820">
        <f>88969+24021</f>
        <v>112990</v>
      </c>
      <c r="F20" s="820">
        <f>88969+24021</f>
        <v>112990</v>
      </c>
      <c r="G20" s="42">
        <f t="shared" si="0"/>
        <v>112990</v>
      </c>
      <c r="H20" s="883"/>
    </row>
    <row r="21" spans="1:8" ht="15.75" customHeight="1">
      <c r="A21" s="829" t="s">
        <v>987</v>
      </c>
      <c r="B21" s="820">
        <f>33063+8927</f>
        <v>41990</v>
      </c>
      <c r="C21" s="834">
        <v>2019</v>
      </c>
      <c r="D21" s="821"/>
      <c r="E21" s="820">
        <f>33063+8927</f>
        <v>41990</v>
      </c>
      <c r="F21" s="820">
        <f>33063+8927</f>
        <v>41990</v>
      </c>
      <c r="G21" s="42">
        <f t="shared" si="0"/>
        <v>41990</v>
      </c>
      <c r="H21" s="883"/>
    </row>
    <row r="22" spans="1:8" ht="15.75" customHeight="1">
      <c r="A22" s="829" t="s">
        <v>988</v>
      </c>
      <c r="B22" s="820">
        <f>72800+19656</f>
        <v>92456</v>
      </c>
      <c r="C22" s="834">
        <v>2019</v>
      </c>
      <c r="D22" s="821"/>
      <c r="E22" s="820">
        <f>72800+19656</f>
        <v>92456</v>
      </c>
      <c r="F22" s="820">
        <f>72800+19656</f>
        <v>92456</v>
      </c>
      <c r="G22" s="42">
        <f t="shared" si="0"/>
        <v>92456</v>
      </c>
      <c r="H22" s="883"/>
    </row>
    <row r="23" spans="1:8" ht="15.75" customHeight="1">
      <c r="A23" s="829" t="s">
        <v>989</v>
      </c>
      <c r="B23" s="820">
        <f>11811+3189</f>
        <v>15000</v>
      </c>
      <c r="C23" s="834">
        <v>2019</v>
      </c>
      <c r="D23" s="821"/>
      <c r="E23" s="820">
        <f>11811+3189</f>
        <v>15000</v>
      </c>
      <c r="F23" s="820">
        <f>11811+3189</f>
        <v>15000</v>
      </c>
      <c r="G23" s="42">
        <f t="shared" si="0"/>
        <v>15000</v>
      </c>
      <c r="H23" s="883"/>
    </row>
    <row r="24" spans="1:8" ht="15.75" customHeight="1">
      <c r="A24" s="829" t="s">
        <v>990</v>
      </c>
      <c r="B24" s="820">
        <f>157480+42520</f>
        <v>200000</v>
      </c>
      <c r="C24" s="834">
        <v>2019</v>
      </c>
      <c r="D24" s="821"/>
      <c r="E24" s="820">
        <f>157480+42520</f>
        <v>200000</v>
      </c>
      <c r="F24" s="820">
        <f>157480+42520</f>
        <v>200000</v>
      </c>
      <c r="G24" s="42">
        <f t="shared" si="0"/>
        <v>200000</v>
      </c>
      <c r="H24" s="883"/>
    </row>
    <row r="25" spans="1:8" ht="15.75" customHeight="1">
      <c r="A25" s="829" t="s">
        <v>991</v>
      </c>
      <c r="B25" s="820">
        <f>1590000+429300</f>
        <v>2019300</v>
      </c>
      <c r="C25" s="834">
        <v>2019</v>
      </c>
      <c r="D25" s="821"/>
      <c r="E25" s="820">
        <f>1590000+429300</f>
        <v>2019300</v>
      </c>
      <c r="F25" s="820">
        <f>1590000+429300</f>
        <v>2019300</v>
      </c>
      <c r="G25" s="42">
        <f t="shared" si="0"/>
        <v>2019300</v>
      </c>
      <c r="H25" s="883"/>
    </row>
    <row r="26" spans="1:8" ht="15.75" customHeight="1">
      <c r="A26" s="829" t="s">
        <v>992</v>
      </c>
      <c r="B26" s="820">
        <f>77000+20790</f>
        <v>97790</v>
      </c>
      <c r="C26" s="834">
        <v>2019</v>
      </c>
      <c r="D26" s="821"/>
      <c r="E26" s="820">
        <f>77000+20790</f>
        <v>97790</v>
      </c>
      <c r="F26" s="820">
        <f>77000+20790</f>
        <v>97790</v>
      </c>
      <c r="G26" s="42">
        <f t="shared" si="0"/>
        <v>97790</v>
      </c>
      <c r="H26" s="883"/>
    </row>
    <row r="27" spans="1:8" ht="15.75" customHeight="1">
      <c r="A27" s="829" t="s">
        <v>993</v>
      </c>
      <c r="B27" s="820">
        <f>103150+192126+B70+B71</f>
        <v>619428</v>
      </c>
      <c r="C27" s="834">
        <v>2019</v>
      </c>
      <c r="D27" s="821"/>
      <c r="E27" s="820">
        <f>103150+192126+E70+E71</f>
        <v>619428</v>
      </c>
      <c r="F27" s="820">
        <f>103150+192126+F70+F71</f>
        <v>619428</v>
      </c>
      <c r="G27" s="42">
        <f t="shared" si="0"/>
        <v>619428</v>
      </c>
      <c r="H27" s="883"/>
    </row>
    <row r="28" spans="1:8" ht="15.75" customHeight="1">
      <c r="A28" s="829" t="s">
        <v>994</v>
      </c>
      <c r="B28" s="820">
        <f>22047+B72</f>
        <v>48617</v>
      </c>
      <c r="C28" s="834">
        <v>2019</v>
      </c>
      <c r="D28" s="821"/>
      <c r="E28" s="820">
        <f>22047+E72</f>
        <v>48617</v>
      </c>
      <c r="F28" s="820">
        <f>22047+F72</f>
        <v>48617</v>
      </c>
      <c r="G28" s="42">
        <f t="shared" si="0"/>
        <v>48617</v>
      </c>
      <c r="H28" s="883"/>
    </row>
    <row r="29" spans="1:8" ht="15.75" customHeight="1">
      <c r="A29" s="829" t="s">
        <v>995</v>
      </c>
      <c r="B29" s="820">
        <f>151969+B73</f>
        <v>207019</v>
      </c>
      <c r="C29" s="834">
        <v>2019</v>
      </c>
      <c r="D29" s="821"/>
      <c r="E29" s="820">
        <f>151969+E73</f>
        <v>207019</v>
      </c>
      <c r="F29" s="820">
        <f>151969+F73</f>
        <v>207019</v>
      </c>
      <c r="G29" s="42">
        <f t="shared" si="0"/>
        <v>207019</v>
      </c>
      <c r="H29" s="883"/>
    </row>
    <row r="30" spans="1:8" ht="15.75" customHeight="1">
      <c r="A30" s="829" t="s">
        <v>996</v>
      </c>
      <c r="B30" s="820">
        <f>14961+B60</f>
        <v>61951</v>
      </c>
      <c r="C30" s="834">
        <v>2019</v>
      </c>
      <c r="D30" s="821"/>
      <c r="E30" s="820">
        <f>14961+E60</f>
        <v>61951</v>
      </c>
      <c r="F30" s="820">
        <f>14961+F60</f>
        <v>61951</v>
      </c>
      <c r="G30" s="42">
        <f t="shared" si="0"/>
        <v>61951</v>
      </c>
      <c r="H30" s="883"/>
    </row>
    <row r="31" spans="1:8" ht="15.75" customHeight="1">
      <c r="A31" s="829" t="s">
        <v>997</v>
      </c>
      <c r="B31" s="820">
        <f>13386+B75</f>
        <v>13386</v>
      </c>
      <c r="C31" s="834">
        <v>2019</v>
      </c>
      <c r="D31" s="821"/>
      <c r="E31" s="820">
        <f>13386+E75</f>
        <v>13386</v>
      </c>
      <c r="F31" s="820">
        <f>13386+F75</f>
        <v>13386</v>
      </c>
      <c r="G31" s="42">
        <f t="shared" si="0"/>
        <v>13386</v>
      </c>
      <c r="H31" s="883"/>
    </row>
    <row r="32" spans="1:8" ht="15.75" customHeight="1">
      <c r="A32" s="829" t="s">
        <v>1047</v>
      </c>
      <c r="B32" s="820">
        <f>14961+B54</f>
        <v>749461</v>
      </c>
      <c r="C32" s="834">
        <v>2019</v>
      </c>
      <c r="D32" s="821"/>
      <c r="E32" s="820">
        <f>14961+E54</f>
        <v>749461</v>
      </c>
      <c r="F32" s="820">
        <f>14961+F54</f>
        <v>749461</v>
      </c>
      <c r="G32" s="42">
        <f t="shared" si="0"/>
        <v>749461</v>
      </c>
      <c r="H32" s="883"/>
    </row>
    <row r="33" spans="1:8" ht="15.75" customHeight="1">
      <c r="A33" s="829" t="s">
        <v>998</v>
      </c>
      <c r="B33" s="820">
        <f>15740+B77</f>
        <v>15740</v>
      </c>
      <c r="C33" s="834">
        <v>2019</v>
      </c>
      <c r="D33" s="821"/>
      <c r="E33" s="820">
        <f>15740+E77</f>
        <v>15740</v>
      </c>
      <c r="F33" s="820">
        <f>15740+F77</f>
        <v>15740</v>
      </c>
      <c r="G33" s="42">
        <f t="shared" si="0"/>
        <v>15740</v>
      </c>
      <c r="H33" s="883"/>
    </row>
    <row r="34" spans="1:8" ht="15.75" customHeight="1">
      <c r="A34" s="829" t="s">
        <v>999</v>
      </c>
      <c r="B34" s="820">
        <f>113551+B79</f>
        <v>113551</v>
      </c>
      <c r="C34" s="834">
        <v>2019</v>
      </c>
      <c r="D34" s="821"/>
      <c r="E34" s="820">
        <f>113551+E79</f>
        <v>113551</v>
      </c>
      <c r="F34" s="820">
        <f>113551+F79</f>
        <v>113551</v>
      </c>
      <c r="G34" s="42">
        <f t="shared" si="0"/>
        <v>113551</v>
      </c>
      <c r="H34" s="883"/>
    </row>
    <row r="35" spans="1:8" ht="15.75" customHeight="1">
      <c r="A35" s="829" t="s">
        <v>1000</v>
      </c>
      <c r="B35" s="820">
        <f>38504+B78</f>
        <v>38504</v>
      </c>
      <c r="C35" s="834">
        <v>2019</v>
      </c>
      <c r="D35" s="821"/>
      <c r="E35" s="820">
        <f>38504+E78</f>
        <v>38504</v>
      </c>
      <c r="F35" s="820">
        <f>38504+F78</f>
        <v>38504</v>
      </c>
      <c r="G35" s="42">
        <f t="shared" si="0"/>
        <v>38504</v>
      </c>
      <c r="H35" s="883"/>
    </row>
    <row r="36" spans="1:8" ht="15.75" customHeight="1">
      <c r="A36" s="829" t="s">
        <v>1001</v>
      </c>
      <c r="B36" s="820">
        <v>254000</v>
      </c>
      <c r="C36" s="834">
        <v>2019</v>
      </c>
      <c r="D36" s="821"/>
      <c r="E36" s="820">
        <v>254000</v>
      </c>
      <c r="F36" s="820">
        <v>254000</v>
      </c>
      <c r="G36" s="42">
        <f t="shared" si="0"/>
        <v>254000</v>
      </c>
      <c r="H36" s="883"/>
    </row>
    <row r="37" spans="1:8" s="13" customFormat="1" ht="18" customHeight="1">
      <c r="A37" s="829" t="s">
        <v>1002</v>
      </c>
      <c r="B37" s="820">
        <v>33790</v>
      </c>
      <c r="C37" s="834">
        <v>2019</v>
      </c>
      <c r="D37" s="828"/>
      <c r="E37" s="820">
        <v>33790</v>
      </c>
      <c r="F37" s="820">
        <v>33790</v>
      </c>
      <c r="G37" s="42">
        <f t="shared" si="0"/>
        <v>33790</v>
      </c>
      <c r="H37" s="883"/>
    </row>
    <row r="38" spans="1:8" ht="12.75">
      <c r="A38" s="829" t="s">
        <v>1003</v>
      </c>
      <c r="B38" s="820">
        <f>13840+3737</f>
        <v>17577</v>
      </c>
      <c r="C38" s="834">
        <v>2019</v>
      </c>
      <c r="D38" s="822"/>
      <c r="E38" s="820">
        <f>13840+3737</f>
        <v>17577</v>
      </c>
      <c r="F38" s="820">
        <f>13840+3737</f>
        <v>17577</v>
      </c>
      <c r="G38" s="42">
        <f t="shared" si="0"/>
        <v>17577</v>
      </c>
      <c r="H38" s="408"/>
    </row>
    <row r="39" spans="1:8" ht="12.75">
      <c r="A39" s="829" t="s">
        <v>1004</v>
      </c>
      <c r="B39" s="820">
        <f>646063+174437</f>
        <v>820500</v>
      </c>
      <c r="C39" s="834">
        <v>2019</v>
      </c>
      <c r="D39" s="822"/>
      <c r="E39" s="820">
        <f>646063+174437</f>
        <v>820500</v>
      </c>
      <c r="F39" s="820">
        <f>646063+174437</f>
        <v>820500</v>
      </c>
      <c r="G39" s="42">
        <f t="shared" si="0"/>
        <v>820500</v>
      </c>
      <c r="H39" s="408"/>
    </row>
    <row r="40" spans="1:8" ht="12.75">
      <c r="A40" s="829" t="s">
        <v>1005</v>
      </c>
      <c r="B40" s="820">
        <f>39370+10630</f>
        <v>50000</v>
      </c>
      <c r="C40" s="834">
        <v>2019</v>
      </c>
      <c r="D40" s="822"/>
      <c r="E40" s="820">
        <f>39370+10630</f>
        <v>50000</v>
      </c>
      <c r="F40" s="820">
        <f>39370+10630</f>
        <v>50000</v>
      </c>
      <c r="G40" s="42">
        <f t="shared" si="0"/>
        <v>50000</v>
      </c>
      <c r="H40" s="408"/>
    </row>
    <row r="41" spans="1:8" ht="13.5">
      <c r="A41" s="863" t="s">
        <v>1006</v>
      </c>
      <c r="B41" s="820">
        <f>220000+177500+4172441+1126559+94492+25512</f>
        <v>5816504</v>
      </c>
      <c r="C41" s="834">
        <v>2019</v>
      </c>
      <c r="D41" s="822"/>
      <c r="E41" s="820">
        <f>220000+177500+4172441+1126559+94492+25512</f>
        <v>5816504</v>
      </c>
      <c r="F41" s="820">
        <f>220000+177500+4172441+1126559+94492+25512</f>
        <v>5816504</v>
      </c>
      <c r="G41" s="42">
        <f t="shared" si="0"/>
        <v>5816504</v>
      </c>
      <c r="H41" s="408"/>
    </row>
    <row r="42" spans="1:8" ht="12.75">
      <c r="A42" s="829" t="s">
        <v>1007</v>
      </c>
      <c r="B42" s="820">
        <f>170000+45900</f>
        <v>215900</v>
      </c>
      <c r="C42" s="834">
        <v>2019</v>
      </c>
      <c r="D42" s="822"/>
      <c r="E42" s="820">
        <f>170000+45900</f>
        <v>215900</v>
      </c>
      <c r="F42" s="820">
        <f>170000+45900</f>
        <v>215900</v>
      </c>
      <c r="G42" s="42">
        <f t="shared" si="0"/>
        <v>215900</v>
      </c>
      <c r="H42" s="408"/>
    </row>
    <row r="43" spans="1:8" ht="12.75">
      <c r="A43" s="829" t="s">
        <v>1008</v>
      </c>
      <c r="B43" s="820">
        <f>26803+7237</f>
        <v>34040</v>
      </c>
      <c r="C43" s="834">
        <v>2019</v>
      </c>
      <c r="D43" s="822"/>
      <c r="E43" s="820">
        <f>26803+7237</f>
        <v>34040</v>
      </c>
      <c r="F43" s="820">
        <f>26803+7237</f>
        <v>34040</v>
      </c>
      <c r="G43" s="42">
        <f t="shared" si="0"/>
        <v>34040</v>
      </c>
      <c r="H43" s="408"/>
    </row>
    <row r="44" spans="1:8" ht="13.5">
      <c r="A44" s="863" t="s">
        <v>1009</v>
      </c>
      <c r="B44" s="820">
        <f>32508+34397+1626+1720+146457</f>
        <v>216708</v>
      </c>
      <c r="C44" s="834">
        <v>2019</v>
      </c>
      <c r="D44" s="822"/>
      <c r="E44" s="820">
        <f>32508+34397+1626+1720+146457</f>
        <v>216708</v>
      </c>
      <c r="F44" s="820">
        <f>32508+34397+1626+1720+146457</f>
        <v>216708</v>
      </c>
      <c r="G44" s="42">
        <f t="shared" si="0"/>
        <v>216708</v>
      </c>
      <c r="H44" s="408"/>
    </row>
    <row r="45" spans="1:8" ht="12.75">
      <c r="A45" s="829" t="s">
        <v>1010</v>
      </c>
      <c r="B45" s="820">
        <f>9683+2615</f>
        <v>12298</v>
      </c>
      <c r="C45" s="834">
        <v>2019</v>
      </c>
      <c r="D45" s="822"/>
      <c r="E45" s="820">
        <f>9683+2615</f>
        <v>12298</v>
      </c>
      <c r="F45" s="820">
        <f>9683+2615</f>
        <v>12298</v>
      </c>
      <c r="G45" s="42">
        <f t="shared" si="0"/>
        <v>12298</v>
      </c>
      <c r="H45" s="408"/>
    </row>
    <row r="46" spans="1:8" ht="12.75">
      <c r="A46" s="829" t="s">
        <v>1011</v>
      </c>
      <c r="B46" s="820">
        <f>319000+86130</f>
        <v>405130</v>
      </c>
      <c r="C46" s="834">
        <v>2019</v>
      </c>
      <c r="D46" s="822"/>
      <c r="E46" s="820">
        <f>319000+86130</f>
        <v>405130</v>
      </c>
      <c r="F46" s="820">
        <f>319000+86130</f>
        <v>405130</v>
      </c>
      <c r="G46" s="42">
        <f t="shared" si="0"/>
        <v>405130</v>
      </c>
      <c r="H46" s="408"/>
    </row>
    <row r="47" spans="1:7" ht="12.75">
      <c r="A47" s="829" t="s">
        <v>1012</v>
      </c>
      <c r="B47" s="820">
        <f>225000+60750</f>
        <v>285750</v>
      </c>
      <c r="C47" s="834">
        <v>2019</v>
      </c>
      <c r="D47" s="822"/>
      <c r="E47" s="820">
        <f>225000+60750</f>
        <v>285750</v>
      </c>
      <c r="F47" s="820">
        <f>225000+60750</f>
        <v>285750</v>
      </c>
      <c r="G47" s="42">
        <f t="shared" si="0"/>
        <v>285750</v>
      </c>
    </row>
    <row r="48" spans="1:7" ht="12.75">
      <c r="A48" s="829" t="s">
        <v>1013</v>
      </c>
      <c r="B48" s="820">
        <f>100000+27000</f>
        <v>127000</v>
      </c>
      <c r="C48" s="834">
        <v>2019</v>
      </c>
      <c r="D48" s="822"/>
      <c r="E48" s="820">
        <f>100000+27000</f>
        <v>127000</v>
      </c>
      <c r="F48" s="820">
        <f>100000+27000</f>
        <v>127000</v>
      </c>
      <c r="G48" s="42">
        <f t="shared" si="0"/>
        <v>127000</v>
      </c>
    </row>
    <row r="49" spans="1:7" ht="12.75">
      <c r="A49" s="829" t="s">
        <v>1014</v>
      </c>
      <c r="B49" s="820">
        <f>59000+15930</f>
        <v>74930</v>
      </c>
      <c r="C49" s="834">
        <v>2019</v>
      </c>
      <c r="D49" s="822"/>
      <c r="E49" s="820">
        <f>59000+15930</f>
        <v>74930</v>
      </c>
      <c r="F49" s="820">
        <f>59000+15930</f>
        <v>74930</v>
      </c>
      <c r="G49" s="42">
        <f t="shared" si="0"/>
        <v>74930</v>
      </c>
    </row>
    <row r="50" spans="1:7" ht="12.75">
      <c r="A50" s="829" t="s">
        <v>1015</v>
      </c>
      <c r="B50" s="820">
        <f>629500+629500+169965+169965</f>
        <v>1598930</v>
      </c>
      <c r="C50" s="834">
        <v>2019</v>
      </c>
      <c r="D50" s="822"/>
      <c r="E50" s="820">
        <f>629500+629500+169965+169965</f>
        <v>1598930</v>
      </c>
      <c r="F50" s="820">
        <f>629500+629500+169965+169965</f>
        <v>1598930</v>
      </c>
      <c r="G50" s="42">
        <f t="shared" si="0"/>
        <v>1598930</v>
      </c>
    </row>
    <row r="51" spans="1:7" ht="12.75">
      <c r="A51" s="829" t="s">
        <v>1016</v>
      </c>
      <c r="B51" s="820">
        <f>1969+531</f>
        <v>2500</v>
      </c>
      <c r="C51" s="834">
        <v>2019</v>
      </c>
      <c r="D51" s="822"/>
      <c r="E51" s="820">
        <f>1969+531</f>
        <v>2500</v>
      </c>
      <c r="F51" s="820">
        <f>1969+531</f>
        <v>2500</v>
      </c>
      <c r="G51" s="42">
        <f t="shared" si="0"/>
        <v>2500</v>
      </c>
    </row>
    <row r="52" spans="1:7" ht="12.75">
      <c r="A52" s="829" t="s">
        <v>1017</v>
      </c>
      <c r="B52" s="820">
        <f>15669+4231</f>
        <v>19900</v>
      </c>
      <c r="C52" s="834">
        <v>2019</v>
      </c>
      <c r="D52" s="822"/>
      <c r="E52" s="820">
        <f>15669+4231</f>
        <v>19900</v>
      </c>
      <c r="F52" s="820">
        <f>15669+4231</f>
        <v>19900</v>
      </c>
      <c r="G52" s="42">
        <f t="shared" si="0"/>
        <v>19900</v>
      </c>
    </row>
    <row r="53" spans="1:7" ht="12.75">
      <c r="A53" s="829" t="s">
        <v>1018</v>
      </c>
      <c r="B53" s="820">
        <v>2219055</v>
      </c>
      <c r="C53" s="834">
        <v>2019</v>
      </c>
      <c r="D53" s="822"/>
      <c r="E53" s="820">
        <v>2219055</v>
      </c>
      <c r="F53" s="820">
        <v>2219055</v>
      </c>
      <c r="G53" s="42">
        <f t="shared" si="0"/>
        <v>2219055</v>
      </c>
    </row>
    <row r="54" spans="1:7" ht="12.75">
      <c r="A54" s="829" t="s">
        <v>1019</v>
      </c>
      <c r="B54" s="820">
        <f>578346+156154</f>
        <v>734500</v>
      </c>
      <c r="C54" s="834">
        <v>2019</v>
      </c>
      <c r="D54" s="822"/>
      <c r="E54" s="820">
        <f>578346+156154</f>
        <v>734500</v>
      </c>
      <c r="F54" s="820">
        <f>578346+156154</f>
        <v>734500</v>
      </c>
      <c r="G54" s="42">
        <f t="shared" si="0"/>
        <v>734500</v>
      </c>
    </row>
    <row r="55" spans="1:7" ht="12.75">
      <c r="A55" s="829" t="s">
        <v>1020</v>
      </c>
      <c r="B55" s="820">
        <f>19236+5194</f>
        <v>24430</v>
      </c>
      <c r="C55" s="834">
        <v>2019</v>
      </c>
      <c r="D55" s="822"/>
      <c r="E55" s="820">
        <f>19236+5194</f>
        <v>24430</v>
      </c>
      <c r="F55" s="820">
        <f>19236+5194</f>
        <v>24430</v>
      </c>
      <c r="G55" s="42">
        <f t="shared" si="0"/>
        <v>24430</v>
      </c>
    </row>
    <row r="56" spans="1:7" ht="12.75">
      <c r="A56" s="829" t="s">
        <v>1021</v>
      </c>
      <c r="B56" s="820">
        <f>12197+3293</f>
        <v>15490</v>
      </c>
      <c r="C56" s="834">
        <v>2019</v>
      </c>
      <c r="D56" s="822"/>
      <c r="E56" s="820">
        <f>12197+3293</f>
        <v>15490</v>
      </c>
      <c r="F56" s="820">
        <f>12197+3293</f>
        <v>15490</v>
      </c>
      <c r="G56" s="42">
        <f t="shared" si="0"/>
        <v>15490</v>
      </c>
    </row>
    <row r="57" spans="1:7" ht="12.75">
      <c r="A57" s="829" t="s">
        <v>1022</v>
      </c>
      <c r="B57" s="820">
        <f>268000+72360</f>
        <v>340360</v>
      </c>
      <c r="C57" s="834">
        <v>2019</v>
      </c>
      <c r="D57" s="822"/>
      <c r="E57" s="820">
        <f>268000+72360</f>
        <v>340360</v>
      </c>
      <c r="F57" s="820">
        <f>268000+72360</f>
        <v>340360</v>
      </c>
      <c r="G57" s="42">
        <f t="shared" si="0"/>
        <v>340360</v>
      </c>
    </row>
    <row r="58" spans="1:7" ht="12.75">
      <c r="A58" s="829" t="s">
        <v>1023</v>
      </c>
      <c r="B58" s="820">
        <f>445000+120150</f>
        <v>565150</v>
      </c>
      <c r="C58" s="834">
        <v>2019</v>
      </c>
      <c r="D58" s="822"/>
      <c r="E58" s="820">
        <f>445000+120150</f>
        <v>565150</v>
      </c>
      <c r="F58" s="820">
        <f>445000+120150</f>
        <v>565150</v>
      </c>
      <c r="G58" s="42">
        <f t="shared" si="0"/>
        <v>565150</v>
      </c>
    </row>
    <row r="59" spans="1:7" ht="12.75">
      <c r="A59" s="829" t="s">
        <v>1024</v>
      </c>
      <c r="B59" s="820">
        <f>340000+91800</f>
        <v>431800</v>
      </c>
      <c r="C59" s="834">
        <v>2019</v>
      </c>
      <c r="D59" s="822"/>
      <c r="E59" s="820">
        <f>340000+91800</f>
        <v>431800</v>
      </c>
      <c r="F59" s="820">
        <f>340000+91800</f>
        <v>431800</v>
      </c>
      <c r="G59" s="42">
        <f t="shared" si="0"/>
        <v>431800</v>
      </c>
    </row>
    <row r="60" spans="1:7" ht="12.75">
      <c r="A60" s="829" t="s">
        <v>1025</v>
      </c>
      <c r="B60" s="820">
        <f>37000+9990</f>
        <v>46990</v>
      </c>
      <c r="C60" s="834">
        <v>2019</v>
      </c>
      <c r="D60" s="822"/>
      <c r="E60" s="820">
        <f>37000+9990</f>
        <v>46990</v>
      </c>
      <c r="F60" s="820">
        <f>37000+9990</f>
        <v>46990</v>
      </c>
      <c r="G60" s="42">
        <f t="shared" si="0"/>
        <v>46990</v>
      </c>
    </row>
    <row r="61" spans="1:7" ht="12.75">
      <c r="A61" s="829" t="s">
        <v>1026</v>
      </c>
      <c r="B61" s="820">
        <f>15740+4250</f>
        <v>19990</v>
      </c>
      <c r="C61" s="834">
        <v>2019</v>
      </c>
      <c r="D61" s="822"/>
      <c r="E61" s="820">
        <f>15740+4250</f>
        <v>19990</v>
      </c>
      <c r="F61" s="820">
        <f>15740+4250</f>
        <v>19990</v>
      </c>
      <c r="G61" s="42">
        <f t="shared" si="0"/>
        <v>19990</v>
      </c>
    </row>
    <row r="62" spans="1:7" ht="12.75">
      <c r="A62" s="829" t="s">
        <v>1027</v>
      </c>
      <c r="B62" s="820">
        <f>110228+29762</f>
        <v>139990</v>
      </c>
      <c r="C62" s="834">
        <v>2019</v>
      </c>
      <c r="D62" s="822"/>
      <c r="E62" s="820">
        <f>110228+29762</f>
        <v>139990</v>
      </c>
      <c r="F62" s="820">
        <f>110228+29762</f>
        <v>139990</v>
      </c>
      <c r="G62" s="42">
        <f t="shared" si="0"/>
        <v>139990</v>
      </c>
    </row>
    <row r="63" spans="1:7" ht="12.75">
      <c r="A63" s="829" t="s">
        <v>1028</v>
      </c>
      <c r="B63" s="820">
        <f>20591+5559</f>
        <v>26150</v>
      </c>
      <c r="C63" s="834">
        <v>2019</v>
      </c>
      <c r="D63" s="822"/>
      <c r="E63" s="820">
        <f>20591+5559</f>
        <v>26150</v>
      </c>
      <c r="F63" s="820">
        <f>20591+5559</f>
        <v>26150</v>
      </c>
      <c r="G63" s="42">
        <f t="shared" si="0"/>
        <v>26150</v>
      </c>
    </row>
    <row r="64" spans="1:7" ht="12.75">
      <c r="A64" s="829" t="s">
        <v>1029</v>
      </c>
      <c r="B64" s="820">
        <f>15746+4252</f>
        <v>19998</v>
      </c>
      <c r="C64" s="834">
        <v>2019</v>
      </c>
      <c r="D64" s="822"/>
      <c r="E64" s="820">
        <f>15746+4252</f>
        <v>19998</v>
      </c>
      <c r="F64" s="820">
        <f>15746+4252</f>
        <v>19998</v>
      </c>
      <c r="G64" s="42">
        <f t="shared" si="0"/>
        <v>19998</v>
      </c>
    </row>
    <row r="65" spans="1:7" ht="12.75">
      <c r="A65" s="829" t="s">
        <v>1030</v>
      </c>
      <c r="B65" s="820">
        <f>15500+4185</f>
        <v>19685</v>
      </c>
      <c r="C65" s="834">
        <v>2019</v>
      </c>
      <c r="D65" s="822"/>
      <c r="E65" s="820">
        <f>15500+4185</f>
        <v>19685</v>
      </c>
      <c r="F65" s="820">
        <f>15500+4185</f>
        <v>19685</v>
      </c>
      <c r="G65" s="42">
        <f t="shared" si="0"/>
        <v>19685</v>
      </c>
    </row>
    <row r="66" spans="1:7" ht="12.75">
      <c r="A66" s="829" t="s">
        <v>1031</v>
      </c>
      <c r="B66" s="820">
        <v>47770</v>
      </c>
      <c r="C66" s="834">
        <v>2019</v>
      </c>
      <c r="D66" s="822"/>
      <c r="E66" s="820">
        <v>47770</v>
      </c>
      <c r="F66" s="820">
        <v>47770</v>
      </c>
      <c r="G66" s="42">
        <f t="shared" si="0"/>
        <v>47770</v>
      </c>
    </row>
    <row r="67" spans="1:7" ht="12.75">
      <c r="A67" s="829" t="s">
        <v>1032</v>
      </c>
      <c r="B67" s="820">
        <f>17323+4677</f>
        <v>22000</v>
      </c>
      <c r="C67" s="834">
        <v>2019</v>
      </c>
      <c r="D67" s="822"/>
      <c r="E67" s="820">
        <f>17323+4677</f>
        <v>22000</v>
      </c>
      <c r="F67" s="820">
        <f>17323+4677</f>
        <v>22000</v>
      </c>
      <c r="G67" s="42">
        <f t="shared" si="0"/>
        <v>22000</v>
      </c>
    </row>
    <row r="68" spans="1:7" ht="12.75">
      <c r="A68" s="829" t="s">
        <v>1033</v>
      </c>
      <c r="B68" s="820">
        <f>97717+26383</f>
        <v>124100</v>
      </c>
      <c r="C68" s="834">
        <v>2019</v>
      </c>
      <c r="D68" s="822"/>
      <c r="E68" s="820">
        <f>97717+26383</f>
        <v>124100</v>
      </c>
      <c r="F68" s="820">
        <f>97717+26383</f>
        <v>124100</v>
      </c>
      <c r="G68" s="42">
        <f t="shared" si="0"/>
        <v>124100</v>
      </c>
    </row>
    <row r="69" spans="1:7" ht="12.75">
      <c r="A69" s="862" t="s">
        <v>1034</v>
      </c>
      <c r="B69" s="820">
        <v>36760</v>
      </c>
      <c r="C69" s="834">
        <v>2019</v>
      </c>
      <c r="D69" s="822"/>
      <c r="E69" s="820">
        <v>36760</v>
      </c>
      <c r="F69" s="820">
        <v>36760</v>
      </c>
      <c r="G69" s="42">
        <f t="shared" si="0"/>
        <v>36760</v>
      </c>
    </row>
    <row r="70" spans="1:7" ht="12.75">
      <c r="A70" s="862" t="s">
        <v>1035</v>
      </c>
      <c r="B70" s="820">
        <v>300000</v>
      </c>
      <c r="C70" s="834">
        <v>2019</v>
      </c>
      <c r="D70" s="822"/>
      <c r="E70" s="820">
        <v>300000</v>
      </c>
      <c r="F70" s="820">
        <v>300000</v>
      </c>
      <c r="G70" s="42">
        <f t="shared" si="0"/>
        <v>300000</v>
      </c>
    </row>
    <row r="71" spans="1:7" ht="12.75">
      <c r="A71" s="862" t="s">
        <v>1036</v>
      </c>
      <c r="B71" s="820">
        <f>19017+5135</f>
        <v>24152</v>
      </c>
      <c r="C71" s="834">
        <v>2019</v>
      </c>
      <c r="D71" s="822"/>
      <c r="E71" s="820">
        <f>19017+5135</f>
        <v>24152</v>
      </c>
      <c r="F71" s="820">
        <f>19017+5135</f>
        <v>24152</v>
      </c>
      <c r="G71" s="42">
        <f t="shared" si="0"/>
        <v>24152</v>
      </c>
    </row>
    <row r="72" spans="1:7" ht="12.75">
      <c r="A72" s="829" t="s">
        <v>1037</v>
      </c>
      <c r="B72" s="820">
        <f>20921+5649</f>
        <v>26570</v>
      </c>
      <c r="C72" s="834">
        <v>2019</v>
      </c>
      <c r="D72" s="822"/>
      <c r="E72" s="820">
        <f>20921+5649</f>
        <v>26570</v>
      </c>
      <c r="F72" s="820">
        <f>20921+5649</f>
        <v>26570</v>
      </c>
      <c r="G72" s="42">
        <f>F72+D72</f>
        <v>26570</v>
      </c>
    </row>
    <row r="73" spans="1:7" ht="13.5" thickBot="1">
      <c r="A73" s="830" t="s">
        <v>1038</v>
      </c>
      <c r="B73" s="831">
        <f>43346+11704</f>
        <v>55050</v>
      </c>
      <c r="C73" s="834">
        <v>2019</v>
      </c>
      <c r="D73" s="832"/>
      <c r="E73" s="831">
        <f>43346+11704</f>
        <v>55050</v>
      </c>
      <c r="F73" s="831">
        <f>43346+11704</f>
        <v>55050</v>
      </c>
      <c r="G73" s="859">
        <f>F73+D73</f>
        <v>55050</v>
      </c>
    </row>
    <row r="74" spans="1:7" ht="13.5" thickBot="1">
      <c r="A74" s="818" t="s">
        <v>49</v>
      </c>
      <c r="B74" s="819">
        <f>SUM(B5:B73)</f>
        <v>455965344</v>
      </c>
      <c r="C74" s="833"/>
      <c r="D74" s="819">
        <f>SUM(D5:D17)</f>
        <v>14995000</v>
      </c>
      <c r="E74" s="819">
        <f>SUM(E5:E17)</f>
        <v>316567572</v>
      </c>
      <c r="F74" s="858">
        <f>SUM(F5:F17)</f>
        <v>316567572</v>
      </c>
      <c r="G74" s="860">
        <f>SUM(G5:G17)</f>
        <v>316567572</v>
      </c>
    </row>
  </sheetData>
  <sheetProtection/>
  <mergeCells count="3">
    <mergeCell ref="F2:G2"/>
    <mergeCell ref="A1:G1"/>
    <mergeCell ref="H1:H37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8" scale="10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18"/>
  <sheetViews>
    <sheetView zoomScaleSheetLayoutView="130" workbookViewId="0" topLeftCell="A1">
      <selection activeCell="H5" sqref="H5:H6"/>
    </sheetView>
  </sheetViews>
  <sheetFormatPr defaultColWidth="9.375" defaultRowHeight="12.75"/>
  <cols>
    <col min="1" max="1" width="70.00390625" style="4" bestFit="1" customWidth="1"/>
    <col min="2" max="2" width="17.50390625" style="3" bestFit="1" customWidth="1"/>
    <col min="3" max="4" width="15.75390625" style="3" customWidth="1"/>
    <col min="5" max="6" width="17.50390625" style="3" bestFit="1" customWidth="1"/>
    <col min="7" max="7" width="15.75390625" style="3" customWidth="1"/>
    <col min="8" max="8" width="4.125" style="3" customWidth="1"/>
    <col min="9" max="9" width="13.75390625" style="3" customWidth="1"/>
    <col min="10" max="16384" width="9.375" style="3" customWidth="1"/>
  </cols>
  <sheetData>
    <row r="1" spans="1:8" ht="24.75" customHeight="1">
      <c r="A1" s="882" t="s">
        <v>1</v>
      </c>
      <c r="B1" s="882"/>
      <c r="C1" s="882"/>
      <c r="D1" s="882"/>
      <c r="E1" s="882"/>
      <c r="F1" s="882"/>
      <c r="G1" s="882"/>
      <c r="H1" s="722"/>
    </row>
    <row r="2" spans="1:8" ht="23.25" customHeight="1" thickBot="1">
      <c r="A2" s="22"/>
      <c r="B2" s="9"/>
      <c r="C2" s="9"/>
      <c r="D2" s="9"/>
      <c r="E2" s="9"/>
      <c r="F2" s="881" t="s">
        <v>678</v>
      </c>
      <c r="G2" s="881"/>
      <c r="H2" s="722"/>
    </row>
    <row r="3" spans="1:8" s="5" customFormat="1" ht="48.75" customHeight="1" thickBot="1">
      <c r="A3" s="809" t="s">
        <v>53</v>
      </c>
      <c r="B3" s="810" t="s">
        <v>51</v>
      </c>
      <c r="C3" s="810" t="s">
        <v>52</v>
      </c>
      <c r="D3" s="810" t="str">
        <f>+'3.Beruházási kiadás'!D3</f>
        <v>Felhasználás 2018. XII.31-ig</v>
      </c>
      <c r="E3" s="810" t="str">
        <f>+'3.Beruházási kiadás'!E3</f>
        <v>2019. évi módosított előirányzat</v>
      </c>
      <c r="F3" s="840" t="str">
        <f>+'3.Beruházási kiadás'!F3</f>
        <v>2019. évi teljesítés</v>
      </c>
      <c r="G3" s="841" t="str">
        <f>+'3.Beruházási kiadás'!G3</f>
        <v>Összes teljesítés 2019. dec. 31-ig</v>
      </c>
      <c r="H3" s="722"/>
    </row>
    <row r="4" spans="1:8" s="9" customFormat="1" ht="15" customHeight="1" thickBot="1">
      <c r="A4" s="842" t="s">
        <v>372</v>
      </c>
      <c r="B4" s="843" t="s">
        <v>373</v>
      </c>
      <c r="C4" s="114" t="s">
        <v>374</v>
      </c>
      <c r="D4" s="114" t="s">
        <v>375</v>
      </c>
      <c r="E4" s="114" t="s">
        <v>376</v>
      </c>
      <c r="F4" s="384" t="s">
        <v>451</v>
      </c>
      <c r="G4" s="844" t="s">
        <v>497</v>
      </c>
      <c r="H4" s="722"/>
    </row>
    <row r="5" spans="1:8" ht="27.75" customHeight="1">
      <c r="A5" s="855" t="s">
        <v>1042</v>
      </c>
      <c r="B5" s="845">
        <v>21177567</v>
      </c>
      <c r="C5" s="853">
        <v>2019</v>
      </c>
      <c r="D5" s="846"/>
      <c r="E5" s="845">
        <v>21177567</v>
      </c>
      <c r="F5" s="845">
        <v>21177567</v>
      </c>
      <c r="G5" s="847">
        <v>21177567</v>
      </c>
      <c r="H5" s="886" t="s">
        <v>884</v>
      </c>
    </row>
    <row r="6" spans="1:8" ht="15.75" customHeight="1">
      <c r="A6" s="854" t="s">
        <v>1040</v>
      </c>
      <c r="B6" s="848">
        <f>9881300+2667951+13852271+12209526+1695450</f>
        <v>40306498</v>
      </c>
      <c r="C6" s="184">
        <v>2019</v>
      </c>
      <c r="D6" s="849"/>
      <c r="E6" s="848">
        <f>9881300+2667951+13852271+12209526+1695450</f>
        <v>40306498</v>
      </c>
      <c r="F6" s="848">
        <f>9881300+2667951+13852271+12209526+1695450</f>
        <v>40306498</v>
      </c>
      <c r="G6" s="850">
        <f aca="true" t="shared" si="0" ref="G6:G17">+D6+F6</f>
        <v>40306498</v>
      </c>
      <c r="H6" s="886"/>
    </row>
    <row r="7" spans="1:8" ht="15.75" customHeight="1">
      <c r="A7" s="856" t="s">
        <v>1041</v>
      </c>
      <c r="B7" s="848">
        <f>32254890+14922227+4029001+111107682+147000+14000+16400+1000000</f>
        <v>163491200</v>
      </c>
      <c r="C7" s="184">
        <v>2019</v>
      </c>
      <c r="D7" s="849"/>
      <c r="E7" s="848">
        <f>32254890+14922227+4029001+111107682+147000+14000+16400+1000000</f>
        <v>163491200</v>
      </c>
      <c r="F7" s="848">
        <f>32254890+14922227+4029001+111107682+147000+14000+16400+1000000</f>
        <v>163491200</v>
      </c>
      <c r="G7" s="850">
        <f t="shared" si="0"/>
        <v>163491200</v>
      </c>
      <c r="H7" s="884"/>
    </row>
    <row r="8" spans="1:8" ht="15.75" customHeight="1">
      <c r="A8" s="856" t="s">
        <v>1043</v>
      </c>
      <c r="B8" s="848">
        <f>20459100+5523957</f>
        <v>25983057</v>
      </c>
      <c r="C8" s="184">
        <v>2019</v>
      </c>
      <c r="D8" s="849"/>
      <c r="E8" s="848">
        <f>20459100+5523957</f>
        <v>25983057</v>
      </c>
      <c r="F8" s="848">
        <f>20459100+5523957</f>
        <v>25983057</v>
      </c>
      <c r="G8" s="850">
        <f t="shared" si="0"/>
        <v>25983057</v>
      </c>
      <c r="H8" s="884"/>
    </row>
    <row r="9" spans="1:8" ht="15.75" customHeight="1">
      <c r="A9" s="854" t="s">
        <v>1044</v>
      </c>
      <c r="B9" s="848">
        <f>3935000+1062450</f>
        <v>4997450</v>
      </c>
      <c r="C9" s="184">
        <v>2019</v>
      </c>
      <c r="D9" s="849"/>
      <c r="E9" s="848">
        <f>3935000+1062450</f>
        <v>4997450</v>
      </c>
      <c r="F9" s="848">
        <f>3935000+1062450</f>
        <v>4997450</v>
      </c>
      <c r="G9" s="850">
        <f t="shared" si="0"/>
        <v>4997450</v>
      </c>
      <c r="H9" s="884"/>
    </row>
    <row r="10" spans="1:8" ht="15.75" customHeight="1">
      <c r="A10" s="856" t="s">
        <v>1045</v>
      </c>
      <c r="B10" s="851">
        <v>50400</v>
      </c>
      <c r="C10" s="184">
        <v>2019</v>
      </c>
      <c r="D10" s="849"/>
      <c r="E10" s="852">
        <v>50400</v>
      </c>
      <c r="F10" s="852">
        <v>50400</v>
      </c>
      <c r="G10" s="850">
        <f t="shared" si="0"/>
        <v>50400</v>
      </c>
      <c r="H10" s="884"/>
    </row>
    <row r="11" spans="1:8" ht="15.75" customHeight="1">
      <c r="A11" s="14"/>
      <c r="B11" s="2"/>
      <c r="C11" s="184"/>
      <c r="D11" s="2"/>
      <c r="E11" s="2"/>
      <c r="F11" s="41"/>
      <c r="G11" s="42">
        <f t="shared" si="0"/>
        <v>0</v>
      </c>
      <c r="H11" s="884"/>
    </row>
    <row r="12" spans="1:8" ht="15.75" customHeight="1">
      <c r="A12" s="14"/>
      <c r="B12" s="2"/>
      <c r="C12" s="184"/>
      <c r="D12" s="2"/>
      <c r="E12" s="2"/>
      <c r="F12" s="41"/>
      <c r="G12" s="42">
        <f t="shared" si="0"/>
        <v>0</v>
      </c>
      <c r="H12" s="884"/>
    </row>
    <row r="13" spans="1:8" ht="15.75" customHeight="1">
      <c r="A13" s="14"/>
      <c r="B13" s="2"/>
      <c r="C13" s="184"/>
      <c r="D13" s="2"/>
      <c r="E13" s="2"/>
      <c r="F13" s="41"/>
      <c r="G13" s="42">
        <f t="shared" si="0"/>
        <v>0</v>
      </c>
      <c r="H13" s="884"/>
    </row>
    <row r="14" spans="1:8" ht="15.75" customHeight="1">
      <c r="A14" s="14"/>
      <c r="B14" s="2"/>
      <c r="C14" s="184"/>
      <c r="D14" s="2"/>
      <c r="E14" s="2"/>
      <c r="F14" s="41"/>
      <c r="G14" s="42">
        <f t="shared" si="0"/>
        <v>0</v>
      </c>
      <c r="H14" s="884"/>
    </row>
    <row r="15" spans="1:8" ht="15.75" customHeight="1">
      <c r="A15" s="14"/>
      <c r="B15" s="2"/>
      <c r="C15" s="184"/>
      <c r="D15" s="2"/>
      <c r="E15" s="2"/>
      <c r="F15" s="41"/>
      <c r="G15" s="42">
        <f t="shared" si="0"/>
        <v>0</v>
      </c>
      <c r="H15" s="884"/>
    </row>
    <row r="16" spans="1:8" ht="15.75" customHeight="1">
      <c r="A16" s="14"/>
      <c r="B16" s="2"/>
      <c r="C16" s="184"/>
      <c r="D16" s="2"/>
      <c r="E16" s="2"/>
      <c r="F16" s="41"/>
      <c r="G16" s="42">
        <f t="shared" si="0"/>
        <v>0</v>
      </c>
      <c r="H16" s="884"/>
    </row>
    <row r="17" spans="1:8" ht="15.75" customHeight="1" thickBot="1">
      <c r="A17" s="835"/>
      <c r="B17" s="836"/>
      <c r="C17" s="837"/>
      <c r="D17" s="836"/>
      <c r="E17" s="836"/>
      <c r="F17" s="838"/>
      <c r="G17" s="839">
        <f t="shared" si="0"/>
        <v>0</v>
      </c>
      <c r="H17" s="884"/>
    </row>
    <row r="18" spans="1:8" s="13" customFormat="1" ht="18" customHeight="1" thickBot="1">
      <c r="A18" s="25" t="s">
        <v>49</v>
      </c>
      <c r="B18" s="11">
        <f>SUM(B5:B17)</f>
        <v>256006172</v>
      </c>
      <c r="C18" s="17"/>
      <c r="D18" s="11">
        <f>SUM(D5:D17)</f>
        <v>0</v>
      </c>
      <c r="E18" s="11">
        <f>SUM(E5:E17)</f>
        <v>256006172</v>
      </c>
      <c r="F18" s="11">
        <f>SUM(F5:F17)</f>
        <v>256006172</v>
      </c>
      <c r="G18" s="12">
        <f>SUM(G5:G17)</f>
        <v>256006172</v>
      </c>
      <c r="H18" s="885"/>
    </row>
  </sheetData>
  <sheetProtection/>
  <mergeCells count="4">
    <mergeCell ref="F2:G2"/>
    <mergeCell ref="A1:G1"/>
    <mergeCell ref="H7:H18"/>
    <mergeCell ref="H5:H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N48"/>
  <sheetViews>
    <sheetView zoomScale="130" zoomScaleNormal="130" zoomScaleSheetLayoutView="100" workbookViewId="0" topLeftCell="A1">
      <selection activeCell="H10" sqref="H10:I10"/>
    </sheetView>
  </sheetViews>
  <sheetFormatPr defaultColWidth="9.375" defaultRowHeight="12.75"/>
  <cols>
    <col min="1" max="1" width="28.50390625" style="7" customWidth="1"/>
    <col min="2" max="13" width="10.00390625" style="7" customWidth="1"/>
    <col min="14" max="14" width="4.00390625" style="7" customWidth="1"/>
    <col min="15" max="16384" width="9.375" style="7" customWidth="1"/>
  </cols>
  <sheetData>
    <row r="1" spans="1:14" ht="15.75" customHeight="1">
      <c r="A1" s="897" t="s">
        <v>936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725"/>
    </row>
    <row r="2" spans="1:14" ht="14.25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898" t="s">
        <v>678</v>
      </c>
      <c r="M2" s="898"/>
      <c r="N2" s="725"/>
    </row>
    <row r="3" spans="1:14" ht="13.5" thickBot="1">
      <c r="A3" s="894" t="s">
        <v>87</v>
      </c>
      <c r="B3" s="889" t="s">
        <v>175</v>
      </c>
      <c r="C3" s="889"/>
      <c r="D3" s="889"/>
      <c r="E3" s="889"/>
      <c r="F3" s="889"/>
      <c r="G3" s="889"/>
      <c r="H3" s="889"/>
      <c r="I3" s="889"/>
      <c r="J3" s="891" t="s">
        <v>177</v>
      </c>
      <c r="K3" s="891"/>
      <c r="L3" s="891"/>
      <c r="M3" s="891"/>
      <c r="N3" s="725"/>
    </row>
    <row r="4" spans="1:14" ht="15" customHeight="1" thickBot="1">
      <c r="A4" s="895"/>
      <c r="B4" s="888" t="s">
        <v>178</v>
      </c>
      <c r="C4" s="887" t="s">
        <v>179</v>
      </c>
      <c r="D4" s="890" t="s">
        <v>173</v>
      </c>
      <c r="E4" s="890"/>
      <c r="F4" s="890"/>
      <c r="G4" s="890"/>
      <c r="H4" s="890"/>
      <c r="I4" s="890"/>
      <c r="J4" s="892"/>
      <c r="K4" s="892"/>
      <c r="L4" s="892"/>
      <c r="M4" s="892"/>
      <c r="N4" s="725"/>
    </row>
    <row r="5" spans="1:14" ht="13.5" thickBot="1">
      <c r="A5" s="895"/>
      <c r="B5" s="888"/>
      <c r="C5" s="887"/>
      <c r="D5" s="44" t="s">
        <v>178</v>
      </c>
      <c r="E5" s="44" t="s">
        <v>179</v>
      </c>
      <c r="F5" s="44" t="s">
        <v>178</v>
      </c>
      <c r="G5" s="44" t="s">
        <v>179</v>
      </c>
      <c r="H5" s="44" t="s">
        <v>178</v>
      </c>
      <c r="I5" s="44" t="s">
        <v>179</v>
      </c>
      <c r="J5" s="892"/>
      <c r="K5" s="892"/>
      <c r="L5" s="892"/>
      <c r="M5" s="892"/>
      <c r="N5" s="725"/>
    </row>
    <row r="6" spans="1:14" ht="30.75" thickBot="1">
      <c r="A6" s="896"/>
      <c r="B6" s="887" t="s">
        <v>174</v>
      </c>
      <c r="C6" s="887"/>
      <c r="D6" s="887" t="str">
        <f>+CONCATENATE(LEFT(ÖSSZEFÜGGÉSEK!A4,4),". előtt")</f>
        <v>2019. előtt</v>
      </c>
      <c r="E6" s="887"/>
      <c r="F6" s="887" t="str">
        <f>+CONCATENATE(LEFT(ÖSSZEFÜGGÉSEK!A4,4),". évi")</f>
        <v>2019. évi</v>
      </c>
      <c r="G6" s="887"/>
      <c r="H6" s="888" t="str">
        <f>+CONCATENATE(LEFT(ÖSSZEFÜGGÉSEK!A4,4),". után")</f>
        <v>2019. után</v>
      </c>
      <c r="I6" s="888"/>
      <c r="J6" s="43" t="str">
        <f>+D6</f>
        <v>2019. előtt</v>
      </c>
      <c r="K6" s="44" t="str">
        <f>+F6</f>
        <v>2019. évi</v>
      </c>
      <c r="L6" s="43" t="s">
        <v>38</v>
      </c>
      <c r="M6" s="44" t="str">
        <f>+CONCATENATE("Teljesítés %-a ",LEFT(ÖSSZEFÜGGÉSEK!A4,4),". XII. 31-ig")</f>
        <v>Teljesítés %-a 2019. XII. 31-ig</v>
      </c>
      <c r="N6" s="725"/>
    </row>
    <row r="7" spans="1:14" ht="13.5" thickBot="1">
      <c r="A7" s="45" t="s">
        <v>372</v>
      </c>
      <c r="B7" s="43" t="s">
        <v>373</v>
      </c>
      <c r="C7" s="43" t="s">
        <v>374</v>
      </c>
      <c r="D7" s="46" t="s">
        <v>375</v>
      </c>
      <c r="E7" s="44" t="s">
        <v>376</v>
      </c>
      <c r="F7" s="44" t="s">
        <v>451</v>
      </c>
      <c r="G7" s="44" t="s">
        <v>452</v>
      </c>
      <c r="H7" s="43" t="s">
        <v>453</v>
      </c>
      <c r="I7" s="46" t="s">
        <v>454</v>
      </c>
      <c r="J7" s="46" t="s">
        <v>498</v>
      </c>
      <c r="K7" s="46" t="s">
        <v>499</v>
      </c>
      <c r="L7" s="46" t="s">
        <v>500</v>
      </c>
      <c r="M7" s="47" t="s">
        <v>501</v>
      </c>
      <c r="N7" s="725"/>
    </row>
    <row r="8" spans="1:14" ht="12.75">
      <c r="A8" s="48" t="s">
        <v>88</v>
      </c>
      <c r="B8" s="49"/>
      <c r="C8" s="69"/>
      <c r="D8" s="69"/>
      <c r="E8" s="80"/>
      <c r="F8" s="69"/>
      <c r="G8" s="69"/>
      <c r="H8" s="69"/>
      <c r="I8" s="69"/>
      <c r="J8" s="69"/>
      <c r="K8" s="69"/>
      <c r="L8" s="50">
        <f aca="true" t="shared" si="0" ref="L8:L14">+J8+K8</f>
        <v>0</v>
      </c>
      <c r="M8" s="84">
        <f>IF((C8&lt;&gt;0),ROUND((L8/C8)*100,1),"")</f>
      </c>
      <c r="N8" s="901" t="s">
        <v>887</v>
      </c>
    </row>
    <row r="9" spans="1:14" ht="12.75">
      <c r="A9" s="51" t="s">
        <v>99</v>
      </c>
      <c r="B9" s="52"/>
      <c r="C9" s="53"/>
      <c r="D9" s="53"/>
      <c r="E9" s="53"/>
      <c r="F9" s="53"/>
      <c r="G9" s="53"/>
      <c r="H9" s="53"/>
      <c r="I9" s="53"/>
      <c r="J9" s="53"/>
      <c r="K9" s="53"/>
      <c r="L9" s="54">
        <f t="shared" si="0"/>
        <v>0</v>
      </c>
      <c r="M9" s="85">
        <f aca="true" t="shared" si="1" ref="M9:M14">IF((C9&lt;&gt;0),ROUND((L9/C9)*100,1),"")</f>
      </c>
      <c r="N9" s="901"/>
    </row>
    <row r="10" spans="1:14" ht="12.75">
      <c r="A10" s="55" t="s">
        <v>89</v>
      </c>
      <c r="B10" s="56">
        <v>396883763</v>
      </c>
      <c r="C10" s="72">
        <v>396883763</v>
      </c>
      <c r="D10" s="72">
        <v>368067463</v>
      </c>
      <c r="E10" s="72">
        <v>368067463</v>
      </c>
      <c r="H10" s="72">
        <v>28816300</v>
      </c>
      <c r="I10" s="72">
        <v>28816300</v>
      </c>
      <c r="J10" s="72">
        <v>361673902</v>
      </c>
      <c r="K10" s="72">
        <f>C10-J10</f>
        <v>35209861</v>
      </c>
      <c r="L10" s="54">
        <f>J10+K10</f>
        <v>396883763</v>
      </c>
      <c r="M10" s="85">
        <f t="shared" si="1"/>
        <v>100</v>
      </c>
      <c r="N10" s="901"/>
    </row>
    <row r="11" spans="1:14" ht="12.75">
      <c r="A11" s="55" t="s">
        <v>100</v>
      </c>
      <c r="B11" s="56"/>
      <c r="C11" s="72"/>
      <c r="D11" s="72"/>
      <c r="E11" s="72"/>
      <c r="F11" s="72"/>
      <c r="G11" s="72"/>
      <c r="H11" s="72"/>
      <c r="I11" s="72"/>
      <c r="J11" s="72"/>
      <c r="K11" s="72"/>
      <c r="L11" s="54">
        <f t="shared" si="0"/>
        <v>0</v>
      </c>
      <c r="M11" s="85">
        <f t="shared" si="1"/>
      </c>
      <c r="N11" s="901"/>
    </row>
    <row r="12" spans="1:14" ht="12.75">
      <c r="A12" s="55" t="s">
        <v>90</v>
      </c>
      <c r="B12" s="56"/>
      <c r="C12" s="72"/>
      <c r="D12" s="72"/>
      <c r="E12" s="72"/>
      <c r="F12" s="72"/>
      <c r="G12" s="72"/>
      <c r="H12" s="72"/>
      <c r="I12" s="72"/>
      <c r="J12" s="72"/>
      <c r="K12" s="72"/>
      <c r="L12" s="54">
        <f t="shared" si="0"/>
        <v>0</v>
      </c>
      <c r="M12" s="85">
        <f t="shared" si="1"/>
      </c>
      <c r="N12" s="901"/>
    </row>
    <row r="13" spans="1:14" ht="12.75">
      <c r="A13" s="55" t="s">
        <v>91</v>
      </c>
      <c r="B13" s="56"/>
      <c r="C13" s="72"/>
      <c r="D13" s="72"/>
      <c r="E13" s="72"/>
      <c r="F13" s="72"/>
      <c r="G13" s="72"/>
      <c r="H13" s="72"/>
      <c r="I13" s="72"/>
      <c r="J13" s="72"/>
      <c r="K13" s="72"/>
      <c r="L13" s="54"/>
      <c r="M13" s="85">
        <f t="shared" si="1"/>
      </c>
      <c r="N13" s="901"/>
    </row>
    <row r="14" spans="1:14" ht="15" customHeight="1" thickBot="1">
      <c r="A14" s="57"/>
      <c r="B14" s="58"/>
      <c r="C14" s="76"/>
      <c r="D14" s="76"/>
      <c r="E14" s="76"/>
      <c r="F14" s="76"/>
      <c r="G14" s="76"/>
      <c r="H14" s="76"/>
      <c r="I14" s="76"/>
      <c r="J14" s="76"/>
      <c r="K14" s="76"/>
      <c r="L14" s="54">
        <f t="shared" si="0"/>
        <v>0</v>
      </c>
      <c r="M14" s="86">
        <f t="shared" si="1"/>
      </c>
      <c r="N14" s="900" t="str">
        <f>ÖSSZEFÜGGÉSEK!A40</f>
        <v> a 7/2020.(VII.1.) önkormányzati rendelethez</v>
      </c>
    </row>
    <row r="15" spans="1:14" ht="13.5" thickBot="1">
      <c r="A15" s="59" t="s">
        <v>93</v>
      </c>
      <c r="B15" s="60">
        <f>B8+SUM(B10:B14)</f>
        <v>396883763</v>
      </c>
      <c r="C15" s="60">
        <f aca="true" t="shared" si="2" ref="C15:L15">C8+SUM(C10:C14)</f>
        <v>396883763</v>
      </c>
      <c r="D15" s="60">
        <f t="shared" si="2"/>
        <v>368067463</v>
      </c>
      <c r="E15" s="60">
        <f t="shared" si="2"/>
        <v>368067463</v>
      </c>
      <c r="F15" s="60">
        <f t="shared" si="2"/>
        <v>0</v>
      </c>
      <c r="G15" s="60">
        <f t="shared" si="2"/>
        <v>0</v>
      </c>
      <c r="H15" s="60">
        <f>H8+SUM(H10:H14)</f>
        <v>28816300</v>
      </c>
      <c r="I15" s="60">
        <f>I8+SUM(I10:I14)</f>
        <v>28816300</v>
      </c>
      <c r="J15" s="60">
        <f t="shared" si="2"/>
        <v>361673902</v>
      </c>
      <c r="K15" s="60">
        <f t="shared" si="2"/>
        <v>35209861</v>
      </c>
      <c r="L15" s="60">
        <f t="shared" si="2"/>
        <v>396883763</v>
      </c>
      <c r="M15" s="61">
        <f>IF((C15&lt;&gt;0),ROUND((L15/C15)*100,1),"")</f>
        <v>100</v>
      </c>
      <c r="N15" s="900"/>
    </row>
    <row r="16" spans="1:14" ht="12.75">
      <c r="A16" s="62"/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900"/>
    </row>
    <row r="17" spans="1:14" ht="13.5" thickBot="1">
      <c r="A17" s="65" t="s">
        <v>92</v>
      </c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900"/>
    </row>
    <row r="18" spans="1:14" ht="12.75">
      <c r="A18" s="68" t="s">
        <v>96</v>
      </c>
      <c r="B18" s="49"/>
      <c r="C18" s="69"/>
      <c r="D18" s="69"/>
      <c r="E18" s="80"/>
      <c r="F18" s="69"/>
      <c r="G18" s="69"/>
      <c r="H18" s="69"/>
      <c r="I18" s="69"/>
      <c r="J18" s="69"/>
      <c r="K18" s="69"/>
      <c r="L18" s="70">
        <f aca="true" t="shared" si="3" ref="L18:L23">+J18+K18</f>
        <v>0</v>
      </c>
      <c r="M18" s="84">
        <f aca="true" t="shared" si="4" ref="M18:M24">IF((C18&lt;&gt;0),ROUND((L18/C18)*100,1),"")</f>
      </c>
      <c r="N18" s="900"/>
    </row>
    <row r="19" spans="1:14" ht="12.75">
      <c r="A19" s="71" t="s">
        <v>97</v>
      </c>
      <c r="B19" s="52"/>
      <c r="C19" s="72"/>
      <c r="D19" s="72"/>
      <c r="E19" s="72"/>
      <c r="F19" s="72"/>
      <c r="G19" s="72"/>
      <c r="H19" s="72"/>
      <c r="I19" s="72"/>
      <c r="J19" s="72"/>
      <c r="K19" s="72"/>
      <c r="L19" s="73"/>
      <c r="M19" s="85">
        <f t="shared" si="4"/>
      </c>
      <c r="N19" s="900"/>
    </row>
    <row r="20" spans="1:14" ht="12.75">
      <c r="A20" s="71" t="s">
        <v>98</v>
      </c>
      <c r="B20" s="56"/>
      <c r="C20" s="72"/>
      <c r="D20" s="72"/>
      <c r="E20" s="72"/>
      <c r="F20" s="72"/>
      <c r="G20" s="72"/>
      <c r="H20" s="72"/>
      <c r="I20" s="72"/>
      <c r="J20" s="72"/>
      <c r="K20" s="72"/>
      <c r="L20" s="73">
        <f t="shared" si="3"/>
        <v>0</v>
      </c>
      <c r="M20" s="85">
        <f t="shared" si="4"/>
      </c>
      <c r="N20" s="900"/>
    </row>
    <row r="21" spans="1:14" ht="12.75">
      <c r="A21" s="71" t="s">
        <v>659</v>
      </c>
      <c r="B21" s="56"/>
      <c r="C21" s="72"/>
      <c r="D21" s="72"/>
      <c r="E21" s="72"/>
      <c r="F21" s="72"/>
      <c r="G21" s="72"/>
      <c r="H21" s="72"/>
      <c r="I21" s="72"/>
      <c r="J21" s="72"/>
      <c r="K21" s="72"/>
      <c r="L21" s="73">
        <f t="shared" si="3"/>
        <v>0</v>
      </c>
      <c r="M21" s="85">
        <f t="shared" si="4"/>
      </c>
      <c r="N21" s="900"/>
    </row>
    <row r="22" spans="1:14" ht="12.75">
      <c r="A22" s="74"/>
      <c r="B22" s="56"/>
      <c r="C22" s="72"/>
      <c r="D22" s="72"/>
      <c r="E22" s="72"/>
      <c r="F22" s="72"/>
      <c r="G22" s="72"/>
      <c r="H22" s="72"/>
      <c r="I22" s="72"/>
      <c r="J22" s="72"/>
      <c r="K22" s="72"/>
      <c r="L22" s="73">
        <f t="shared" si="3"/>
        <v>0</v>
      </c>
      <c r="M22" s="85">
        <f t="shared" si="4"/>
      </c>
      <c r="N22" s="900"/>
    </row>
    <row r="23" spans="1:14" ht="13.5" thickBot="1">
      <c r="A23" s="75"/>
      <c r="B23" s="58"/>
      <c r="C23" s="76"/>
      <c r="D23" s="76"/>
      <c r="E23" s="76"/>
      <c r="F23" s="76"/>
      <c r="G23" s="76"/>
      <c r="H23" s="76"/>
      <c r="I23" s="76"/>
      <c r="J23" s="76"/>
      <c r="K23" s="76"/>
      <c r="L23" s="73">
        <f t="shared" si="3"/>
        <v>0</v>
      </c>
      <c r="M23" s="86">
        <f t="shared" si="4"/>
      </c>
      <c r="N23" s="900"/>
    </row>
    <row r="24" spans="1:14" ht="13.5" thickBot="1">
      <c r="A24" s="77" t="s">
        <v>77</v>
      </c>
      <c r="B24" s="60">
        <f aca="true" t="shared" si="5" ref="B24:J24">SUM(B18:B23)</f>
        <v>0</v>
      </c>
      <c r="C24" s="60">
        <f t="shared" si="5"/>
        <v>0</v>
      </c>
      <c r="D24" s="60">
        <f t="shared" si="5"/>
        <v>0</v>
      </c>
      <c r="E24" s="60">
        <f t="shared" si="5"/>
        <v>0</v>
      </c>
      <c r="F24" s="60">
        <f t="shared" si="5"/>
        <v>0</v>
      </c>
      <c r="G24" s="60">
        <f t="shared" si="5"/>
        <v>0</v>
      </c>
      <c r="H24" s="60">
        <f t="shared" si="5"/>
        <v>0</v>
      </c>
      <c r="I24" s="60">
        <f t="shared" si="5"/>
        <v>0</v>
      </c>
      <c r="J24" s="60">
        <f t="shared" si="5"/>
        <v>0</v>
      </c>
      <c r="K24" s="60">
        <f>SUM(K18:K23)</f>
        <v>0</v>
      </c>
      <c r="L24" s="60">
        <f>SUM(L18:L23)</f>
        <v>0</v>
      </c>
      <c r="M24" s="61">
        <f t="shared" si="4"/>
      </c>
      <c r="N24" s="900"/>
    </row>
    <row r="25" spans="1:14" ht="12.75">
      <c r="A25" s="893"/>
      <c r="B25" s="893"/>
      <c r="C25" s="893"/>
      <c r="D25" s="893"/>
      <c r="E25" s="893"/>
      <c r="F25" s="893"/>
      <c r="G25" s="893"/>
      <c r="H25" s="893"/>
      <c r="I25" s="893"/>
      <c r="J25" s="893"/>
      <c r="K25" s="893"/>
      <c r="L25" s="893"/>
      <c r="M25" s="893"/>
      <c r="N25" s="900"/>
    </row>
    <row r="26" spans="1:14" ht="5.2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900"/>
    </row>
    <row r="27" spans="1:14" ht="15">
      <c r="A27" s="899" t="str">
        <f>+CONCATENATE("Önkormányzaton kívüli EU-s projekthez történő hozzájárulás ",LEFT(ÖSSZEFÜGGÉSEK!A4,4),". évi előirányzata és teljesítése")</f>
        <v>Önkormányzaton kívüli EU-s projekthez történő hozzájárulás 2019. évi előirányzata és teljesítése</v>
      </c>
      <c r="B27" s="899"/>
      <c r="C27" s="899"/>
      <c r="D27" s="899"/>
      <c r="E27" s="899"/>
      <c r="F27" s="899"/>
      <c r="G27" s="899"/>
      <c r="H27" s="899"/>
      <c r="I27" s="899"/>
      <c r="J27" s="899"/>
      <c r="K27" s="899"/>
      <c r="L27" s="899"/>
      <c r="M27" s="899"/>
      <c r="N27" s="900"/>
    </row>
    <row r="28" spans="1:14" ht="12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898" t="s">
        <v>46</v>
      </c>
      <c r="M28" s="898"/>
      <c r="N28" s="900"/>
    </row>
    <row r="29" spans="1:14" ht="13.5" thickBot="1">
      <c r="A29" s="908" t="s">
        <v>94</v>
      </c>
      <c r="B29" s="909"/>
      <c r="C29" s="909"/>
      <c r="D29" s="909"/>
      <c r="E29" s="909"/>
      <c r="F29" s="909"/>
      <c r="G29" s="909"/>
      <c r="H29" s="909"/>
      <c r="I29" s="909"/>
      <c r="J29" s="909"/>
      <c r="K29" s="79" t="s">
        <v>610</v>
      </c>
      <c r="L29" s="79" t="s">
        <v>609</v>
      </c>
      <c r="M29" s="79" t="s">
        <v>177</v>
      </c>
      <c r="N29" s="900"/>
    </row>
    <row r="30" spans="1:14" ht="12.75">
      <c r="A30" s="904"/>
      <c r="B30" s="905"/>
      <c r="C30" s="905"/>
      <c r="D30" s="905"/>
      <c r="E30" s="905"/>
      <c r="F30" s="905"/>
      <c r="G30" s="905"/>
      <c r="H30" s="905"/>
      <c r="I30" s="905"/>
      <c r="J30" s="905"/>
      <c r="K30" s="80"/>
      <c r="L30" s="81"/>
      <c r="M30" s="81"/>
      <c r="N30" s="900"/>
    </row>
    <row r="31" spans="1:14" ht="13.5" thickBot="1">
      <c r="A31" s="906"/>
      <c r="B31" s="907"/>
      <c r="C31" s="907"/>
      <c r="D31" s="907"/>
      <c r="E31" s="907"/>
      <c r="F31" s="907"/>
      <c r="G31" s="907"/>
      <c r="H31" s="907"/>
      <c r="I31" s="907"/>
      <c r="J31" s="907"/>
      <c r="K31" s="82"/>
      <c r="L31" s="76"/>
      <c r="M31" s="76"/>
      <c r="N31" s="900"/>
    </row>
    <row r="32" spans="1:14" ht="13.5" thickBot="1">
      <c r="A32" s="902" t="s">
        <v>39</v>
      </c>
      <c r="B32" s="903"/>
      <c r="C32" s="903"/>
      <c r="D32" s="903"/>
      <c r="E32" s="903"/>
      <c r="F32" s="903"/>
      <c r="G32" s="903"/>
      <c r="H32" s="903"/>
      <c r="I32" s="903"/>
      <c r="J32" s="903"/>
      <c r="K32" s="83">
        <f>SUM(K30:K31)</f>
        <v>0</v>
      </c>
      <c r="L32" s="83">
        <f>SUM(L30:L31)</f>
        <v>0</v>
      </c>
      <c r="M32" s="83">
        <f>SUM(M30:M31)</f>
        <v>0</v>
      </c>
      <c r="N32" s="900"/>
    </row>
    <row r="33" ht="12.75">
      <c r="N33" s="725"/>
    </row>
    <row r="48" ht="12.75">
      <c r="A48" s="8"/>
    </row>
  </sheetData>
  <sheetProtection/>
  <mergeCells count="21">
    <mergeCell ref="N14:N32"/>
    <mergeCell ref="N8:N13"/>
    <mergeCell ref="A32:J32"/>
    <mergeCell ref="A30:J30"/>
    <mergeCell ref="A31:J31"/>
    <mergeCell ref="A29:J29"/>
    <mergeCell ref="A25:M25"/>
    <mergeCell ref="A3:A6"/>
    <mergeCell ref="A1:M1"/>
    <mergeCell ref="L28:M28"/>
    <mergeCell ref="L2:M2"/>
    <mergeCell ref="C4:C5"/>
    <mergeCell ref="D6:E6"/>
    <mergeCell ref="A27:M27"/>
    <mergeCell ref="H6:I6"/>
    <mergeCell ref="B6:C6"/>
    <mergeCell ref="B4:B5"/>
    <mergeCell ref="F6:G6"/>
    <mergeCell ref="B3:I3"/>
    <mergeCell ref="D4:I4"/>
    <mergeCell ref="J3:M5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3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K145"/>
  <sheetViews>
    <sheetView zoomScale="130" zoomScaleNormal="130" zoomScaleSheetLayoutView="100" workbookViewId="0" topLeftCell="A1">
      <selection activeCell="C41" sqref="C41"/>
    </sheetView>
  </sheetViews>
  <sheetFormatPr defaultColWidth="9.375" defaultRowHeight="12.75"/>
  <cols>
    <col min="1" max="1" width="14.75390625" style="331" customWidth="1"/>
    <col min="2" max="2" width="65.375" style="332" customWidth="1"/>
    <col min="3" max="5" width="17.00390625" style="333" customWidth="1"/>
    <col min="6" max="6" width="17.125" style="27" customWidth="1"/>
    <col min="7" max="8" width="14.125" style="27" customWidth="1"/>
    <col min="9" max="16384" width="9.375" style="27" customWidth="1"/>
  </cols>
  <sheetData>
    <row r="1" spans="1:8" s="311" customFormat="1" ht="16.5" customHeight="1" thickBot="1">
      <c r="A1" s="726"/>
      <c r="B1" s="726"/>
      <c r="C1" s="726"/>
      <c r="D1" s="727" t="s">
        <v>888</v>
      </c>
      <c r="E1" s="919" t="str">
        <f>ÖSSZEFÜGGÉSEK!A40</f>
        <v> a 7/2020.(VII.1.) önkormányzati rendelethez</v>
      </c>
      <c r="F1" s="919"/>
      <c r="G1" s="919"/>
      <c r="H1" s="919"/>
    </row>
    <row r="2" spans="1:8" s="351" customFormat="1" ht="15.75" customHeight="1" thickBot="1">
      <c r="A2" s="334" t="s">
        <v>47</v>
      </c>
      <c r="B2" s="910" t="s">
        <v>677</v>
      </c>
      <c r="C2" s="911"/>
      <c r="D2" s="911"/>
      <c r="E2" s="911"/>
      <c r="F2" s="911"/>
      <c r="G2" s="911"/>
      <c r="H2" s="912"/>
    </row>
    <row r="3" spans="1:8" s="351" customFormat="1" ht="23.25" thickBot="1">
      <c r="A3" s="350" t="s">
        <v>503</v>
      </c>
      <c r="B3" s="913" t="s">
        <v>502</v>
      </c>
      <c r="C3" s="914"/>
      <c r="D3" s="914"/>
      <c r="E3" s="914"/>
      <c r="F3" s="914"/>
      <c r="G3" s="914"/>
      <c r="H3" s="915"/>
    </row>
    <row r="4" spans="1:8" s="352" customFormat="1" ht="15.75" customHeight="1" thickBot="1">
      <c r="A4" s="312"/>
      <c r="B4" s="312"/>
      <c r="C4" s="313"/>
      <c r="D4" s="313"/>
      <c r="H4" s="313" t="s">
        <v>670</v>
      </c>
    </row>
    <row r="5" spans="1:8" ht="23.25" thickBot="1">
      <c r="A5" s="187" t="s">
        <v>142</v>
      </c>
      <c r="B5" s="188" t="s">
        <v>40</v>
      </c>
      <c r="C5" s="87" t="s">
        <v>172</v>
      </c>
      <c r="D5" s="87" t="s">
        <v>176</v>
      </c>
      <c r="E5" s="314" t="s">
        <v>177</v>
      </c>
      <c r="F5" s="314" t="s">
        <v>872</v>
      </c>
      <c r="G5" s="314" t="s">
        <v>873</v>
      </c>
      <c r="H5" s="314" t="s">
        <v>874</v>
      </c>
    </row>
    <row r="6" spans="1:8" s="353" customFormat="1" ht="12.75" customHeight="1" thickBot="1">
      <c r="A6" s="309" t="s">
        <v>372</v>
      </c>
      <c r="B6" s="310" t="s">
        <v>373</v>
      </c>
      <c r="C6" s="310" t="s">
        <v>374</v>
      </c>
      <c r="D6" s="98" t="s">
        <v>375</v>
      </c>
      <c r="E6" s="96" t="s">
        <v>376</v>
      </c>
      <c r="F6" s="96" t="s">
        <v>451</v>
      </c>
      <c r="G6" s="96" t="s">
        <v>452</v>
      </c>
      <c r="H6" s="96" t="s">
        <v>453</v>
      </c>
    </row>
    <row r="7" spans="1:8" s="353" customFormat="1" ht="15.75" customHeight="1" thickBot="1">
      <c r="A7" s="916" t="s">
        <v>41</v>
      </c>
      <c r="B7" s="917"/>
      <c r="C7" s="917"/>
      <c r="D7" s="917"/>
      <c r="E7" s="917"/>
      <c r="F7" s="917"/>
      <c r="G7" s="917"/>
      <c r="H7" s="918"/>
    </row>
    <row r="8" spans="1:8" s="353" customFormat="1" ht="12" customHeight="1" thickBot="1">
      <c r="A8" s="670" t="s">
        <v>6</v>
      </c>
      <c r="B8" s="671" t="s">
        <v>262</v>
      </c>
      <c r="C8" s="672">
        <f aca="true" t="shared" si="0" ref="C8:H8">SUM(C9:C14)</f>
        <v>923473418</v>
      </c>
      <c r="D8" s="672">
        <f t="shared" si="0"/>
        <v>903830252</v>
      </c>
      <c r="E8" s="673">
        <f t="shared" si="0"/>
        <v>903830252</v>
      </c>
      <c r="F8" s="673">
        <f t="shared" si="0"/>
        <v>903830252</v>
      </c>
      <c r="G8" s="673">
        <f t="shared" si="0"/>
        <v>0</v>
      </c>
      <c r="H8" s="673">
        <f t="shared" si="0"/>
        <v>0</v>
      </c>
    </row>
    <row r="9" spans="1:8" s="330" customFormat="1" ht="10.5" customHeight="1">
      <c r="A9" s="339" t="s">
        <v>66</v>
      </c>
      <c r="B9" s="229" t="s">
        <v>263</v>
      </c>
      <c r="C9" s="220">
        <v>208486471</v>
      </c>
      <c r="D9" s="220">
        <v>213975500</v>
      </c>
      <c r="E9" s="206">
        <v>213975500</v>
      </c>
      <c r="F9" s="206">
        <f aca="true" t="shared" si="1" ref="F9:F14">E9-G9</f>
        <v>213975500</v>
      </c>
      <c r="G9" s="206"/>
      <c r="H9" s="206"/>
    </row>
    <row r="10" spans="1:8" s="354" customFormat="1" ht="17.25" customHeight="1">
      <c r="A10" s="340" t="s">
        <v>67</v>
      </c>
      <c r="B10" s="230" t="s">
        <v>264</v>
      </c>
      <c r="C10" s="219">
        <v>295050200</v>
      </c>
      <c r="D10" s="219">
        <v>303733985</v>
      </c>
      <c r="E10" s="205">
        <v>303733985</v>
      </c>
      <c r="F10" s="206">
        <f t="shared" si="1"/>
        <v>303733985</v>
      </c>
      <c r="G10" s="205"/>
      <c r="H10" s="205"/>
    </row>
    <row r="11" spans="1:8" s="354" customFormat="1" ht="12" customHeight="1">
      <c r="A11" s="340" t="s">
        <v>68</v>
      </c>
      <c r="B11" s="230" t="s">
        <v>265</v>
      </c>
      <c r="C11" s="219">
        <v>279183502</v>
      </c>
      <c r="D11" s="219">
        <v>302625364</v>
      </c>
      <c r="E11" s="205">
        <v>302625364</v>
      </c>
      <c r="F11" s="206">
        <f t="shared" si="1"/>
        <v>302625364</v>
      </c>
      <c r="G11" s="205"/>
      <c r="H11" s="205"/>
    </row>
    <row r="12" spans="1:8" s="354" customFormat="1" ht="12" customHeight="1">
      <c r="A12" s="340" t="s">
        <v>69</v>
      </c>
      <c r="B12" s="230" t="s">
        <v>266</v>
      </c>
      <c r="C12" s="219">
        <v>15212120</v>
      </c>
      <c r="D12" s="219">
        <v>18920222</v>
      </c>
      <c r="E12" s="205">
        <v>18920222</v>
      </c>
      <c r="F12" s="206">
        <f t="shared" si="1"/>
        <v>18920222</v>
      </c>
      <c r="G12" s="205"/>
      <c r="H12" s="205"/>
    </row>
    <row r="13" spans="1:8" s="354" customFormat="1" ht="12" customHeight="1">
      <c r="A13" s="340" t="s">
        <v>101</v>
      </c>
      <c r="B13" s="230" t="s">
        <v>267</v>
      </c>
      <c r="C13" s="219">
        <v>125541125</v>
      </c>
      <c r="D13" s="219">
        <v>64575181</v>
      </c>
      <c r="E13" s="205">
        <v>64575181</v>
      </c>
      <c r="F13" s="206">
        <f t="shared" si="1"/>
        <v>64575181</v>
      </c>
      <c r="G13" s="205"/>
      <c r="H13" s="205"/>
    </row>
    <row r="14" spans="1:8" s="330" customFormat="1" ht="12" customHeight="1" thickBot="1">
      <c r="A14" s="341" t="s">
        <v>70</v>
      </c>
      <c r="B14" s="213" t="s">
        <v>268</v>
      </c>
      <c r="C14" s="221"/>
      <c r="D14" s="221"/>
      <c r="E14" s="207"/>
      <c r="F14" s="206">
        <f t="shared" si="1"/>
        <v>0</v>
      </c>
      <c r="G14" s="207"/>
      <c r="H14" s="207"/>
    </row>
    <row r="15" spans="1:8" s="330" customFormat="1" ht="12" customHeight="1" thickBot="1">
      <c r="A15" s="198" t="s">
        <v>7</v>
      </c>
      <c r="B15" s="211" t="s">
        <v>269</v>
      </c>
      <c r="C15" s="218">
        <f aca="true" t="shared" si="2" ref="C15:H15">SUM(C16:C20)</f>
        <v>0</v>
      </c>
      <c r="D15" s="218">
        <f t="shared" si="2"/>
        <v>21800733</v>
      </c>
      <c r="E15" s="204">
        <f t="shared" si="2"/>
        <v>21513383</v>
      </c>
      <c r="F15" s="204">
        <f t="shared" si="2"/>
        <v>19513383</v>
      </c>
      <c r="G15" s="204">
        <f t="shared" si="2"/>
        <v>2000000</v>
      </c>
      <c r="H15" s="204">
        <f t="shared" si="2"/>
        <v>0</v>
      </c>
    </row>
    <row r="16" spans="1:8" s="330" customFormat="1" ht="12" customHeight="1">
      <c r="A16" s="339" t="s">
        <v>72</v>
      </c>
      <c r="B16" s="229" t="s">
        <v>270</v>
      </c>
      <c r="C16" s="220"/>
      <c r="D16" s="220">
        <v>225157</v>
      </c>
      <c r="E16" s="206">
        <v>225157</v>
      </c>
      <c r="F16" s="206">
        <f aca="true" t="shared" si="3" ref="F16:F21">E16-G16</f>
        <v>225157</v>
      </c>
      <c r="G16" s="206"/>
      <c r="H16" s="206"/>
    </row>
    <row r="17" spans="1:8" s="330" customFormat="1" ht="12" customHeight="1">
      <c r="A17" s="340" t="s">
        <v>73</v>
      </c>
      <c r="B17" s="230" t="s">
        <v>271</v>
      </c>
      <c r="C17" s="219"/>
      <c r="D17" s="219"/>
      <c r="E17" s="205"/>
      <c r="F17" s="206">
        <f t="shared" si="3"/>
        <v>0</v>
      </c>
      <c r="G17" s="205"/>
      <c r="H17" s="205"/>
    </row>
    <row r="18" spans="1:8" s="330" customFormat="1" ht="12" customHeight="1">
      <c r="A18" s="340" t="s">
        <v>74</v>
      </c>
      <c r="B18" s="230" t="s">
        <v>272</v>
      </c>
      <c r="C18" s="219"/>
      <c r="D18" s="219"/>
      <c r="E18" s="205"/>
      <c r="F18" s="206">
        <f t="shared" si="3"/>
        <v>0</v>
      </c>
      <c r="G18" s="205"/>
      <c r="H18" s="205"/>
    </row>
    <row r="19" spans="1:8" s="330" customFormat="1" ht="12" customHeight="1">
      <c r="A19" s="340" t="s">
        <v>75</v>
      </c>
      <c r="B19" s="230" t="s">
        <v>273</v>
      </c>
      <c r="C19" s="219"/>
      <c r="D19" s="219"/>
      <c r="E19" s="205"/>
      <c r="F19" s="206">
        <f t="shared" si="3"/>
        <v>0</v>
      </c>
      <c r="G19" s="205"/>
      <c r="H19" s="205"/>
    </row>
    <row r="20" spans="1:8" s="330" customFormat="1" ht="12" customHeight="1">
      <c r="A20" s="340" t="s">
        <v>76</v>
      </c>
      <c r="B20" s="230" t="s">
        <v>274</v>
      </c>
      <c r="C20" s="219"/>
      <c r="D20" s="219">
        <v>21575576</v>
      </c>
      <c r="E20" s="205">
        <v>21288226</v>
      </c>
      <c r="F20" s="206">
        <f t="shared" si="3"/>
        <v>19288226</v>
      </c>
      <c r="G20" s="205">
        <v>2000000</v>
      </c>
      <c r="H20" s="205"/>
    </row>
    <row r="21" spans="1:8" s="354" customFormat="1" ht="12" customHeight="1" thickBot="1">
      <c r="A21" s="341" t="s">
        <v>83</v>
      </c>
      <c r="B21" s="213" t="s">
        <v>275</v>
      </c>
      <c r="C21" s="221"/>
      <c r="D21" s="221"/>
      <c r="E21" s="207"/>
      <c r="F21" s="206">
        <f t="shared" si="3"/>
        <v>0</v>
      </c>
      <c r="G21" s="207"/>
      <c r="H21" s="207"/>
    </row>
    <row r="22" spans="1:8" s="354" customFormat="1" ht="12" customHeight="1" thickBot="1">
      <c r="A22" s="198" t="s">
        <v>8</v>
      </c>
      <c r="B22" s="196" t="s">
        <v>276</v>
      </c>
      <c r="C22" s="218">
        <f aca="true" t="shared" si="4" ref="C22:H22">SUM(C23:C27)</f>
        <v>622839833</v>
      </c>
      <c r="D22" s="218">
        <f t="shared" si="4"/>
        <v>1392287246</v>
      </c>
      <c r="E22" s="204">
        <f t="shared" si="4"/>
        <v>450721714</v>
      </c>
      <c r="F22" s="204">
        <f t="shared" si="4"/>
        <v>450721714</v>
      </c>
      <c r="G22" s="204">
        <f t="shared" si="4"/>
        <v>0</v>
      </c>
      <c r="H22" s="204">
        <f t="shared" si="4"/>
        <v>0</v>
      </c>
    </row>
    <row r="23" spans="1:8" s="354" customFormat="1" ht="12" customHeight="1">
      <c r="A23" s="339" t="s">
        <v>55</v>
      </c>
      <c r="B23" s="229" t="s">
        <v>277</v>
      </c>
      <c r="C23" s="220"/>
      <c r="D23" s="220">
        <v>28503394</v>
      </c>
      <c r="E23" s="206">
        <v>28503394</v>
      </c>
      <c r="F23" s="206">
        <f aca="true" t="shared" si="5" ref="F23:F28">E23-G23</f>
        <v>28503394</v>
      </c>
      <c r="G23" s="206"/>
      <c r="H23" s="206"/>
    </row>
    <row r="24" spans="1:8" s="330" customFormat="1" ht="12" customHeight="1">
      <c r="A24" s="340" t="s">
        <v>56</v>
      </c>
      <c r="B24" s="230" t="s">
        <v>278</v>
      </c>
      <c r="C24" s="219"/>
      <c r="D24" s="219"/>
      <c r="E24" s="205"/>
      <c r="F24" s="206">
        <f t="shared" si="5"/>
        <v>0</v>
      </c>
      <c r="G24" s="205"/>
      <c r="H24" s="205"/>
    </row>
    <row r="25" spans="1:8" s="354" customFormat="1" ht="12" customHeight="1">
      <c r="A25" s="340" t="s">
        <v>57</v>
      </c>
      <c r="B25" s="230" t="s">
        <v>279</v>
      </c>
      <c r="C25" s="219"/>
      <c r="D25" s="219"/>
      <c r="E25" s="205"/>
      <c r="F25" s="206">
        <f t="shared" si="5"/>
        <v>0</v>
      </c>
      <c r="G25" s="205"/>
      <c r="H25" s="205"/>
    </row>
    <row r="26" spans="1:8" s="354" customFormat="1" ht="12" customHeight="1">
      <c r="A26" s="340" t="s">
        <v>58</v>
      </c>
      <c r="B26" s="230" t="s">
        <v>280</v>
      </c>
      <c r="C26" s="219"/>
      <c r="D26" s="219"/>
      <c r="E26" s="205"/>
      <c r="F26" s="206">
        <f t="shared" si="5"/>
        <v>0</v>
      </c>
      <c r="G26" s="205"/>
      <c r="H26" s="205"/>
    </row>
    <row r="27" spans="1:8" s="354" customFormat="1" ht="12" customHeight="1">
      <c r="A27" s="340" t="s">
        <v>115</v>
      </c>
      <c r="B27" s="230" t="s">
        <v>281</v>
      </c>
      <c r="C27" s="219">
        <v>622839833</v>
      </c>
      <c r="D27" s="219">
        <f>1392287246-28503394</f>
        <v>1363783852</v>
      </c>
      <c r="E27" s="205">
        <v>422218320</v>
      </c>
      <c r="F27" s="206">
        <f t="shared" si="5"/>
        <v>422218320</v>
      </c>
      <c r="G27" s="205"/>
      <c r="H27" s="205"/>
    </row>
    <row r="28" spans="1:8" s="354" customFormat="1" ht="12" customHeight="1" thickBot="1">
      <c r="A28" s="341" t="s">
        <v>116</v>
      </c>
      <c r="B28" s="231" t="s">
        <v>282</v>
      </c>
      <c r="C28" s="221"/>
      <c r="D28" s="221"/>
      <c r="E28" s="207"/>
      <c r="F28" s="206">
        <f t="shared" si="5"/>
        <v>0</v>
      </c>
      <c r="G28" s="207"/>
      <c r="H28" s="207"/>
    </row>
    <row r="29" spans="1:8" s="354" customFormat="1" ht="12" customHeight="1" thickBot="1">
      <c r="A29" s="198" t="s">
        <v>117</v>
      </c>
      <c r="B29" s="196" t="s">
        <v>283</v>
      </c>
      <c r="C29" s="224">
        <f aca="true" t="shared" si="6" ref="C29:H29">SUM(C30:C32)</f>
        <v>440000000</v>
      </c>
      <c r="D29" s="224">
        <f t="shared" si="6"/>
        <v>495945023</v>
      </c>
      <c r="E29" s="224">
        <f t="shared" si="6"/>
        <v>516673875</v>
      </c>
      <c r="F29" s="224">
        <f t="shared" si="6"/>
        <v>516673875</v>
      </c>
      <c r="G29" s="224">
        <f t="shared" si="6"/>
        <v>0</v>
      </c>
      <c r="H29" s="224">
        <f t="shared" si="6"/>
        <v>0</v>
      </c>
    </row>
    <row r="30" spans="1:8" s="354" customFormat="1" ht="12" customHeight="1">
      <c r="A30" s="340" t="s">
        <v>284</v>
      </c>
      <c r="B30" s="230" t="s">
        <v>671</v>
      </c>
      <c r="C30" s="219">
        <v>52000000</v>
      </c>
      <c r="D30" s="219">
        <v>52000000</v>
      </c>
      <c r="E30" s="205">
        <f>52791936+6400</f>
        <v>52798336</v>
      </c>
      <c r="F30" s="205">
        <f>E30-G30</f>
        <v>52798336</v>
      </c>
      <c r="G30" s="205"/>
      <c r="H30" s="205"/>
    </row>
    <row r="31" spans="1:8" s="354" customFormat="1" ht="12" customHeight="1">
      <c r="A31" s="340" t="s">
        <v>286</v>
      </c>
      <c r="B31" s="230" t="s">
        <v>672</v>
      </c>
      <c r="C31" s="219">
        <v>382000000</v>
      </c>
      <c r="D31" s="219">
        <v>437945023</v>
      </c>
      <c r="E31" s="205">
        <v>461121115</v>
      </c>
      <c r="F31" s="205">
        <f>E31-G31</f>
        <v>461121115</v>
      </c>
      <c r="G31" s="205"/>
      <c r="H31" s="205"/>
    </row>
    <row r="32" spans="1:8" s="354" customFormat="1" ht="12" customHeight="1" thickBot="1">
      <c r="A32" s="341" t="s">
        <v>287</v>
      </c>
      <c r="B32" s="231" t="s">
        <v>289</v>
      </c>
      <c r="C32" s="221">
        <v>6000000</v>
      </c>
      <c r="D32" s="221">
        <v>6000000</v>
      </c>
      <c r="E32" s="207">
        <v>2754424</v>
      </c>
      <c r="F32" s="205">
        <f>E32-G32</f>
        <v>2754424</v>
      </c>
      <c r="G32" s="207"/>
      <c r="H32" s="207"/>
    </row>
    <row r="33" spans="1:8" s="354" customFormat="1" ht="12" customHeight="1" thickBot="1">
      <c r="A33" s="198" t="s">
        <v>10</v>
      </c>
      <c r="B33" s="196" t="s">
        <v>290</v>
      </c>
      <c r="C33" s="218">
        <f aca="true" t="shared" si="7" ref="C33:H33">SUM(C34:C43)</f>
        <v>58256842</v>
      </c>
      <c r="D33" s="218">
        <f t="shared" si="7"/>
        <v>58256842</v>
      </c>
      <c r="E33" s="204">
        <f t="shared" si="7"/>
        <v>78618264</v>
      </c>
      <c r="F33" s="204">
        <f t="shared" si="7"/>
        <v>78237264</v>
      </c>
      <c r="G33" s="204">
        <f t="shared" si="7"/>
        <v>381000</v>
      </c>
      <c r="H33" s="204">
        <f t="shared" si="7"/>
        <v>0</v>
      </c>
    </row>
    <row r="34" spans="1:8" s="354" customFormat="1" ht="12" customHeight="1">
      <c r="A34" s="339" t="s">
        <v>59</v>
      </c>
      <c r="B34" s="229" t="s">
        <v>291</v>
      </c>
      <c r="C34" s="220"/>
      <c r="D34" s="220"/>
      <c r="E34" s="798">
        <v>979428</v>
      </c>
      <c r="F34" s="802">
        <f>E34-G34</f>
        <v>979428</v>
      </c>
      <c r="G34" s="802"/>
      <c r="H34" s="802"/>
    </row>
    <row r="35" spans="1:8" s="354" customFormat="1" ht="12" customHeight="1">
      <c r="A35" s="340" t="s">
        <v>60</v>
      </c>
      <c r="B35" s="230" t="s">
        <v>292</v>
      </c>
      <c r="C35" s="219">
        <v>39588040</v>
      </c>
      <c r="D35" s="219">
        <v>39588040</v>
      </c>
      <c r="E35" s="799">
        <v>49059344</v>
      </c>
      <c r="F35" s="803">
        <f aca="true" t="shared" si="8" ref="F35:F43">E35-G35</f>
        <v>49059344</v>
      </c>
      <c r="G35" s="804"/>
      <c r="H35" s="804"/>
    </row>
    <row r="36" spans="1:8" s="354" customFormat="1" ht="12" customHeight="1">
      <c r="A36" s="340" t="s">
        <v>61</v>
      </c>
      <c r="B36" s="230" t="s">
        <v>293</v>
      </c>
      <c r="C36" s="219">
        <v>10040000</v>
      </c>
      <c r="D36" s="219">
        <v>10040000</v>
      </c>
      <c r="E36" s="799">
        <v>9936331</v>
      </c>
      <c r="F36" s="803">
        <f t="shared" si="8"/>
        <v>9936331</v>
      </c>
      <c r="G36" s="804"/>
      <c r="H36" s="804"/>
    </row>
    <row r="37" spans="1:8" s="354" customFormat="1" ht="12" customHeight="1">
      <c r="A37" s="340" t="s">
        <v>119</v>
      </c>
      <c r="B37" s="230" t="s">
        <v>294</v>
      </c>
      <c r="C37" s="219"/>
      <c r="D37" s="219"/>
      <c r="E37" s="799">
        <v>0</v>
      </c>
      <c r="F37" s="803">
        <f t="shared" si="8"/>
        <v>0</v>
      </c>
      <c r="G37" s="804"/>
      <c r="H37" s="804"/>
    </row>
    <row r="38" spans="1:8" s="354" customFormat="1" ht="12" customHeight="1">
      <c r="A38" s="340" t="s">
        <v>120</v>
      </c>
      <c r="B38" s="230" t="s">
        <v>295</v>
      </c>
      <c r="C38" s="219"/>
      <c r="D38" s="219"/>
      <c r="E38" s="799"/>
      <c r="F38" s="803">
        <f t="shared" si="8"/>
        <v>0</v>
      </c>
      <c r="G38" s="804"/>
      <c r="H38" s="804"/>
    </row>
    <row r="39" spans="1:8" s="354" customFormat="1" ht="12" customHeight="1">
      <c r="A39" s="340" t="s">
        <v>121</v>
      </c>
      <c r="B39" s="230" t="s">
        <v>296</v>
      </c>
      <c r="C39" s="219">
        <v>8528802</v>
      </c>
      <c r="D39" s="219">
        <v>8528802</v>
      </c>
      <c r="E39" s="799">
        <v>17321917</v>
      </c>
      <c r="F39" s="803">
        <f t="shared" si="8"/>
        <v>17240917</v>
      </c>
      <c r="G39" s="804">
        <v>81000</v>
      </c>
      <c r="H39" s="804"/>
    </row>
    <row r="40" spans="1:8" s="354" customFormat="1" ht="12" customHeight="1">
      <c r="A40" s="340" t="s">
        <v>122</v>
      </c>
      <c r="B40" s="230" t="s">
        <v>297</v>
      </c>
      <c r="C40" s="219"/>
      <c r="D40" s="219"/>
      <c r="E40" s="799"/>
      <c r="F40" s="803">
        <f t="shared" si="8"/>
        <v>0</v>
      </c>
      <c r="G40" s="804"/>
      <c r="H40" s="804"/>
    </row>
    <row r="41" spans="1:8" s="354" customFormat="1" ht="12" customHeight="1">
      <c r="A41" s="340" t="s">
        <v>123</v>
      </c>
      <c r="B41" s="230" t="s">
        <v>298</v>
      </c>
      <c r="C41" s="219">
        <v>100000</v>
      </c>
      <c r="D41" s="219">
        <v>100000</v>
      </c>
      <c r="E41" s="799">
        <v>566</v>
      </c>
      <c r="F41" s="803">
        <f t="shared" si="8"/>
        <v>566</v>
      </c>
      <c r="G41" s="804"/>
      <c r="H41" s="804"/>
    </row>
    <row r="42" spans="1:8" s="354" customFormat="1" ht="12" customHeight="1">
      <c r="A42" s="340" t="s">
        <v>299</v>
      </c>
      <c r="B42" s="230" t="s">
        <v>883</v>
      </c>
      <c r="C42" s="222"/>
      <c r="D42" s="222"/>
      <c r="E42" s="800">
        <v>228755</v>
      </c>
      <c r="F42" s="803">
        <f t="shared" si="8"/>
        <v>228755</v>
      </c>
      <c r="G42" s="805"/>
      <c r="H42" s="805"/>
    </row>
    <row r="43" spans="1:8" s="330" customFormat="1" ht="12" customHeight="1">
      <c r="A43" s="794" t="s">
        <v>301</v>
      </c>
      <c r="B43" s="190" t="s">
        <v>300</v>
      </c>
      <c r="C43" s="222"/>
      <c r="D43" s="222"/>
      <c r="E43" s="801">
        <v>1091923</v>
      </c>
      <c r="F43" s="803">
        <f t="shared" si="8"/>
        <v>791923</v>
      </c>
      <c r="G43" s="805">
        <v>300000</v>
      </c>
      <c r="H43" s="805"/>
    </row>
    <row r="44" spans="1:8" s="330" customFormat="1" ht="12" customHeight="1" thickBot="1">
      <c r="A44" s="796" t="s">
        <v>937</v>
      </c>
      <c r="B44" s="231" t="s">
        <v>302</v>
      </c>
      <c r="C44" s="223"/>
      <c r="D44" s="223"/>
      <c r="E44" s="806"/>
      <c r="F44" s="807"/>
      <c r="G44" s="808"/>
      <c r="H44" s="808"/>
    </row>
    <row r="45" spans="1:8" s="354" customFormat="1" ht="12" customHeight="1" thickBot="1">
      <c r="A45" s="797" t="s">
        <v>11</v>
      </c>
      <c r="B45" s="795" t="s">
        <v>303</v>
      </c>
      <c r="C45" s="218">
        <f>SUM(C46:C50)</f>
        <v>30000000</v>
      </c>
      <c r="D45" s="218">
        <f>SUM(D46:D50)</f>
        <v>30000000</v>
      </c>
      <c r="E45" s="204">
        <f>SUM(E46:E50)</f>
        <v>14045634</v>
      </c>
      <c r="F45" s="204">
        <f>SUM(F46:F50)</f>
        <v>14045634</v>
      </c>
      <c r="G45" s="204"/>
      <c r="H45" s="204"/>
    </row>
    <row r="46" spans="1:8" s="354" customFormat="1" ht="12" customHeight="1">
      <c r="A46" s="339" t="s">
        <v>62</v>
      </c>
      <c r="B46" s="229" t="s">
        <v>304</v>
      </c>
      <c r="C46" s="235"/>
      <c r="D46" s="235"/>
      <c r="E46" s="210"/>
      <c r="F46" s="210">
        <f>E46-G46</f>
        <v>0</v>
      </c>
      <c r="G46" s="210"/>
      <c r="H46" s="210"/>
    </row>
    <row r="47" spans="1:8" s="354" customFormat="1" ht="12" customHeight="1">
      <c r="A47" s="340" t="s">
        <v>63</v>
      </c>
      <c r="B47" s="230" t="s">
        <v>305</v>
      </c>
      <c r="C47" s="222">
        <v>30000000</v>
      </c>
      <c r="D47" s="222">
        <v>30000000</v>
      </c>
      <c r="E47" s="208">
        <v>14045634</v>
      </c>
      <c r="F47" s="210">
        <f>E47-G47</f>
        <v>14045634</v>
      </c>
      <c r="G47" s="208"/>
      <c r="H47" s="208"/>
    </row>
    <row r="48" spans="1:8" s="354" customFormat="1" ht="12" customHeight="1">
      <c r="A48" s="340" t="s">
        <v>306</v>
      </c>
      <c r="B48" s="230" t="s">
        <v>307</v>
      </c>
      <c r="C48" s="222"/>
      <c r="D48" s="222"/>
      <c r="E48" s="208"/>
      <c r="F48" s="210">
        <f>E48-G48</f>
        <v>0</v>
      </c>
      <c r="G48" s="208"/>
      <c r="H48" s="208"/>
    </row>
    <row r="49" spans="1:8" s="354" customFormat="1" ht="12" customHeight="1">
      <c r="A49" s="340" t="s">
        <v>308</v>
      </c>
      <c r="B49" s="230" t="s">
        <v>309</v>
      </c>
      <c r="C49" s="222"/>
      <c r="D49" s="222"/>
      <c r="E49" s="208"/>
      <c r="F49" s="210">
        <f>E49-G49</f>
        <v>0</v>
      </c>
      <c r="G49" s="208"/>
      <c r="H49" s="208"/>
    </row>
    <row r="50" spans="1:8" s="354" customFormat="1" ht="12" customHeight="1" thickBot="1">
      <c r="A50" s="341" t="s">
        <v>310</v>
      </c>
      <c r="B50" s="231" t="s">
        <v>311</v>
      </c>
      <c r="C50" s="223"/>
      <c r="D50" s="223"/>
      <c r="E50" s="209"/>
      <c r="F50" s="210">
        <f>E50-G50</f>
        <v>0</v>
      </c>
      <c r="G50" s="209"/>
      <c r="H50" s="209"/>
    </row>
    <row r="51" spans="1:8" s="354" customFormat="1" ht="12" customHeight="1" thickBot="1">
      <c r="A51" s="198" t="s">
        <v>124</v>
      </c>
      <c r="B51" s="196" t="s">
        <v>312</v>
      </c>
      <c r="C51" s="218">
        <f>SUM(C52:C54)</f>
        <v>0</v>
      </c>
      <c r="D51" s="218">
        <f>SUM(D52:D54)</f>
        <v>0</v>
      </c>
      <c r="E51" s="204">
        <f>SUM(E52:E54)</f>
        <v>1302188</v>
      </c>
      <c r="F51" s="204">
        <f>SUM(F52:F54)</f>
        <v>1302188</v>
      </c>
      <c r="G51" s="204">
        <f>SUM(G52:G54)</f>
        <v>0</v>
      </c>
      <c r="H51" s="204"/>
    </row>
    <row r="52" spans="1:8" s="330" customFormat="1" ht="12" customHeight="1">
      <c r="A52" s="339" t="s">
        <v>64</v>
      </c>
      <c r="B52" s="229" t="s">
        <v>313</v>
      </c>
      <c r="C52" s="220"/>
      <c r="D52" s="220"/>
      <c r="E52" s="206"/>
      <c r="F52" s="206"/>
      <c r="G52" s="206"/>
      <c r="H52" s="206"/>
    </row>
    <row r="53" spans="1:8" s="330" customFormat="1" ht="12" customHeight="1">
      <c r="A53" s="340" t="s">
        <v>65</v>
      </c>
      <c r="B53" s="230" t="s">
        <v>314</v>
      </c>
      <c r="C53" s="219"/>
      <c r="D53" s="219"/>
      <c r="E53" s="205">
        <v>18000</v>
      </c>
      <c r="F53" s="205">
        <v>18000</v>
      </c>
      <c r="G53" s="205"/>
      <c r="H53" s="205"/>
    </row>
    <row r="54" spans="1:8" s="330" customFormat="1" ht="12" customHeight="1">
      <c r="A54" s="340" t="s">
        <v>315</v>
      </c>
      <c r="B54" s="230" t="s">
        <v>316</v>
      </c>
      <c r="C54" s="219"/>
      <c r="D54" s="219"/>
      <c r="E54" s="205">
        <v>1284188</v>
      </c>
      <c r="F54" s="205">
        <v>1284188</v>
      </c>
      <c r="G54" s="205"/>
      <c r="H54" s="205"/>
    </row>
    <row r="55" spans="1:8" s="330" customFormat="1" ht="12" customHeight="1" thickBot="1">
      <c r="A55" s="341" t="s">
        <v>317</v>
      </c>
      <c r="B55" s="231" t="s">
        <v>318</v>
      </c>
      <c r="C55" s="221"/>
      <c r="D55" s="221"/>
      <c r="E55" s="207"/>
      <c r="F55" s="207"/>
      <c r="G55" s="207"/>
      <c r="H55" s="207"/>
    </row>
    <row r="56" spans="1:8" s="354" customFormat="1" ht="12" customHeight="1" thickBot="1">
      <c r="A56" s="198" t="s">
        <v>13</v>
      </c>
      <c r="B56" s="211" t="s">
        <v>319</v>
      </c>
      <c r="C56" s="218">
        <f>SUM(C57:C59)</f>
        <v>0</v>
      </c>
      <c r="D56" s="218">
        <f>SUM(D57:D59)</f>
        <v>0</v>
      </c>
      <c r="E56" s="204">
        <f>SUM(E57:E59)</f>
        <v>1770165</v>
      </c>
      <c r="F56" s="204">
        <f>SUM(F57:F59)</f>
        <v>1770165</v>
      </c>
      <c r="G56" s="204"/>
      <c r="H56" s="204"/>
    </row>
    <row r="57" spans="1:8" s="354" customFormat="1" ht="12" customHeight="1">
      <c r="A57" s="339" t="s">
        <v>125</v>
      </c>
      <c r="B57" s="229" t="s">
        <v>320</v>
      </c>
      <c r="C57" s="222"/>
      <c r="D57" s="222"/>
      <c r="E57" s="208">
        <v>69000</v>
      </c>
      <c r="F57" s="208">
        <v>69000</v>
      </c>
      <c r="G57" s="208"/>
      <c r="H57" s="208"/>
    </row>
    <row r="58" spans="1:8" s="354" customFormat="1" ht="12" customHeight="1">
      <c r="A58" s="340" t="s">
        <v>126</v>
      </c>
      <c r="B58" s="230" t="s">
        <v>506</v>
      </c>
      <c r="C58" s="222"/>
      <c r="D58" s="222"/>
      <c r="E58" s="208"/>
      <c r="F58" s="208"/>
      <c r="G58" s="208"/>
      <c r="H58" s="208"/>
    </row>
    <row r="59" spans="1:8" s="354" customFormat="1" ht="12" customHeight="1">
      <c r="A59" s="340" t="s">
        <v>151</v>
      </c>
      <c r="B59" s="230" t="s">
        <v>322</v>
      </c>
      <c r="C59" s="222"/>
      <c r="D59" s="222"/>
      <c r="E59" s="208">
        <v>1701165</v>
      </c>
      <c r="F59" s="208">
        <v>1701165</v>
      </c>
      <c r="G59" s="208"/>
      <c r="H59" s="208"/>
    </row>
    <row r="60" spans="1:8" s="354" customFormat="1" ht="12" customHeight="1" thickBot="1">
      <c r="A60" s="341" t="s">
        <v>323</v>
      </c>
      <c r="B60" s="231" t="s">
        <v>324</v>
      </c>
      <c r="C60" s="222"/>
      <c r="D60" s="222"/>
      <c r="E60" s="208"/>
      <c r="F60" s="208"/>
      <c r="G60" s="208"/>
      <c r="H60" s="208"/>
    </row>
    <row r="61" spans="1:8" s="354" customFormat="1" ht="12" customHeight="1" thickBot="1">
      <c r="A61" s="198" t="s">
        <v>14</v>
      </c>
      <c r="B61" s="196" t="s">
        <v>325</v>
      </c>
      <c r="C61" s="224">
        <f>+C8+C15+C22+C29+C33+C45+C51+C56</f>
        <v>2074570093</v>
      </c>
      <c r="D61" s="224">
        <f>+D8+D15+D22+D29+D33+D45+D51+D56</f>
        <v>2902120096</v>
      </c>
      <c r="E61" s="234">
        <f>+E8+E15+E22+E29+E33+E45+E51+E56</f>
        <v>1988475475</v>
      </c>
      <c r="F61" s="234">
        <f>+F8+F15+F22+F29+F33+F45+F51+F56</f>
        <v>1986094475</v>
      </c>
      <c r="G61" s="234">
        <f>+G8+G15+G22+G29+G33+G45+G51+G56</f>
        <v>2381000</v>
      </c>
      <c r="H61" s="234"/>
    </row>
    <row r="62" spans="1:8" s="354" customFormat="1" ht="12" customHeight="1" thickBot="1">
      <c r="A62" s="342" t="s">
        <v>504</v>
      </c>
      <c r="B62" s="211" t="s">
        <v>327</v>
      </c>
      <c r="C62" s="218">
        <f>SUM(C63:C65)</f>
        <v>0</v>
      </c>
      <c r="D62" s="218">
        <f>SUM(D63:D65)</f>
        <v>0</v>
      </c>
      <c r="E62" s="204">
        <f>SUM(E63:E65)</f>
        <v>0</v>
      </c>
      <c r="F62" s="204">
        <f>SUM(F63:F65)</f>
        <v>0</v>
      </c>
      <c r="G62" s="204"/>
      <c r="H62" s="204"/>
    </row>
    <row r="63" spans="1:8" s="354" customFormat="1" ht="12" customHeight="1">
      <c r="A63" s="339" t="s">
        <v>328</v>
      </c>
      <c r="B63" s="229" t="s">
        <v>329</v>
      </c>
      <c r="C63" s="222"/>
      <c r="D63" s="222"/>
      <c r="E63" s="208"/>
      <c r="F63" s="208"/>
      <c r="G63" s="208"/>
      <c r="H63" s="208"/>
    </row>
    <row r="64" spans="1:8" s="354" customFormat="1" ht="12" customHeight="1">
      <c r="A64" s="340" t="s">
        <v>330</v>
      </c>
      <c r="B64" s="230" t="s">
        <v>331</v>
      </c>
      <c r="C64" s="222"/>
      <c r="D64" s="222"/>
      <c r="E64" s="208"/>
      <c r="F64" s="208"/>
      <c r="G64" s="208"/>
      <c r="H64" s="208"/>
    </row>
    <row r="65" spans="1:8" s="354" customFormat="1" ht="12" customHeight="1" thickBot="1">
      <c r="A65" s="341" t="s">
        <v>332</v>
      </c>
      <c r="B65" s="335" t="s">
        <v>333</v>
      </c>
      <c r="C65" s="222"/>
      <c r="D65" s="222"/>
      <c r="E65" s="208"/>
      <c r="F65" s="208"/>
      <c r="G65" s="208"/>
      <c r="H65" s="208"/>
    </row>
    <row r="66" spans="1:8" s="354" customFormat="1" ht="12" customHeight="1" thickBot="1">
      <c r="A66" s="342" t="s">
        <v>334</v>
      </c>
      <c r="B66" s="211" t="s">
        <v>335</v>
      </c>
      <c r="C66" s="218">
        <f>SUM(C67:C70)</f>
        <v>0</v>
      </c>
      <c r="D66" s="218">
        <f>SUM(D67:D70)</f>
        <v>0</v>
      </c>
      <c r="E66" s="204">
        <f>SUM(E67:E70)</f>
        <v>0</v>
      </c>
      <c r="F66" s="204">
        <f>SUM(F67:F70)</f>
        <v>0</v>
      </c>
      <c r="G66" s="204"/>
      <c r="H66" s="204"/>
    </row>
    <row r="67" spans="1:8" s="354" customFormat="1" ht="12" customHeight="1">
      <c r="A67" s="339" t="s">
        <v>102</v>
      </c>
      <c r="B67" s="229" t="s">
        <v>336</v>
      </c>
      <c r="C67" s="222"/>
      <c r="D67" s="222"/>
      <c r="E67" s="208"/>
      <c r="F67" s="208"/>
      <c r="G67" s="208"/>
      <c r="H67" s="208"/>
    </row>
    <row r="68" spans="1:8" s="354" customFormat="1" ht="12" customHeight="1">
      <c r="A68" s="340" t="s">
        <v>103</v>
      </c>
      <c r="B68" s="230" t="s">
        <v>337</v>
      </c>
      <c r="C68" s="222"/>
      <c r="D68" s="222"/>
      <c r="E68" s="208"/>
      <c r="F68" s="208"/>
      <c r="G68" s="208"/>
      <c r="H68" s="208"/>
    </row>
    <row r="69" spans="1:8" s="354" customFormat="1" ht="12" customHeight="1">
      <c r="A69" s="340" t="s">
        <v>338</v>
      </c>
      <c r="B69" s="230" t="s">
        <v>339</v>
      </c>
      <c r="C69" s="222"/>
      <c r="D69" s="222"/>
      <c r="E69" s="208"/>
      <c r="F69" s="208"/>
      <c r="G69" s="208"/>
      <c r="H69" s="208"/>
    </row>
    <row r="70" spans="1:8" s="354" customFormat="1" ht="12" customHeight="1" thickBot="1">
      <c r="A70" s="341" t="s">
        <v>340</v>
      </c>
      <c r="B70" s="231" t="s">
        <v>341</v>
      </c>
      <c r="C70" s="222"/>
      <c r="D70" s="222"/>
      <c r="E70" s="208"/>
      <c r="F70" s="208"/>
      <c r="G70" s="208"/>
      <c r="H70" s="208"/>
    </row>
    <row r="71" spans="1:8" s="354" customFormat="1" ht="12" customHeight="1" thickBot="1">
      <c r="A71" s="342" t="s">
        <v>342</v>
      </c>
      <c r="B71" s="211" t="s">
        <v>343</v>
      </c>
      <c r="C71" s="218">
        <f>SUM(C72:C73)</f>
        <v>562302933</v>
      </c>
      <c r="D71" s="218">
        <f>SUM(D72:D73)</f>
        <v>707486971</v>
      </c>
      <c r="E71" s="204">
        <f>SUM(E72:E73)</f>
        <v>707486971</v>
      </c>
      <c r="F71" s="204">
        <f>SUM(F72:F73)</f>
        <v>707486971</v>
      </c>
      <c r="G71" s="204"/>
      <c r="H71" s="204"/>
    </row>
    <row r="72" spans="1:8" s="354" customFormat="1" ht="12" customHeight="1">
      <c r="A72" s="339" t="s">
        <v>344</v>
      </c>
      <c r="B72" s="229" t="s">
        <v>345</v>
      </c>
      <c r="C72" s="222">
        <v>562302933</v>
      </c>
      <c r="D72" s="222">
        <v>707486971</v>
      </c>
      <c r="E72" s="208">
        <v>707486971</v>
      </c>
      <c r="F72" s="208">
        <v>707486971</v>
      </c>
      <c r="G72" s="208"/>
      <c r="H72" s="208"/>
    </row>
    <row r="73" spans="1:8" s="354" customFormat="1" ht="12" customHeight="1" thickBot="1">
      <c r="A73" s="341" t="s">
        <v>346</v>
      </c>
      <c r="B73" s="231" t="s">
        <v>347</v>
      </c>
      <c r="C73" s="222"/>
      <c r="D73" s="222"/>
      <c r="E73" s="208"/>
      <c r="F73" s="208"/>
      <c r="G73" s="208"/>
      <c r="H73" s="208"/>
    </row>
    <row r="74" spans="1:8" s="354" customFormat="1" ht="12" customHeight="1" thickBot="1">
      <c r="A74" s="342" t="s">
        <v>348</v>
      </c>
      <c r="B74" s="211" t="s">
        <v>349</v>
      </c>
      <c r="C74" s="218">
        <f>SUM(C75:C77)</f>
        <v>0</v>
      </c>
      <c r="D74" s="218">
        <f>SUM(D75:D77)</f>
        <v>14466562</v>
      </c>
      <c r="E74" s="204">
        <f>SUM(E75:E77)</f>
        <v>45934599</v>
      </c>
      <c r="F74" s="204">
        <f>SUM(F75:F77)</f>
        <v>45934599</v>
      </c>
      <c r="G74" s="204"/>
      <c r="H74" s="204"/>
    </row>
    <row r="75" spans="1:8" s="354" customFormat="1" ht="12" customHeight="1">
      <c r="A75" s="339" t="s">
        <v>350</v>
      </c>
      <c r="B75" s="229" t="s">
        <v>351</v>
      </c>
      <c r="C75" s="222"/>
      <c r="D75" s="222">
        <v>14466562</v>
      </c>
      <c r="E75" s="208">
        <v>45934599</v>
      </c>
      <c r="F75" s="208">
        <v>45934599</v>
      </c>
      <c r="G75" s="208"/>
      <c r="H75" s="208"/>
    </row>
    <row r="76" spans="1:8" s="354" customFormat="1" ht="12" customHeight="1">
      <c r="A76" s="340" t="s">
        <v>352</v>
      </c>
      <c r="B76" s="230" t="s">
        <v>353</v>
      </c>
      <c r="C76" s="222"/>
      <c r="D76" s="222"/>
      <c r="E76" s="208"/>
      <c r="F76" s="208"/>
      <c r="G76" s="208"/>
      <c r="H76" s="208"/>
    </row>
    <row r="77" spans="1:8" s="354" customFormat="1" ht="12" customHeight="1" thickBot="1">
      <c r="A77" s="341" t="s">
        <v>354</v>
      </c>
      <c r="B77" s="231" t="s">
        <v>355</v>
      </c>
      <c r="C77" s="222"/>
      <c r="D77" s="222"/>
      <c r="E77" s="208"/>
      <c r="F77" s="208"/>
      <c r="G77" s="208"/>
      <c r="H77" s="208"/>
    </row>
    <row r="78" spans="1:8" s="354" customFormat="1" ht="12" customHeight="1" thickBot="1">
      <c r="A78" s="342" t="s">
        <v>356</v>
      </c>
      <c r="B78" s="211" t="s">
        <v>357</v>
      </c>
      <c r="C78" s="218">
        <f>SUM(C79:C82)</f>
        <v>0</v>
      </c>
      <c r="D78" s="218">
        <f>SUM(D79:D82)</f>
        <v>0</v>
      </c>
      <c r="E78" s="204">
        <f>SUM(E79:E82)</f>
        <v>0</v>
      </c>
      <c r="F78" s="204">
        <f>SUM(F79:F82)</f>
        <v>0</v>
      </c>
      <c r="G78" s="204"/>
      <c r="H78" s="204"/>
    </row>
    <row r="79" spans="1:8" s="354" customFormat="1" ht="12" customHeight="1">
      <c r="A79" s="343" t="s">
        <v>358</v>
      </c>
      <c r="B79" s="229" t="s">
        <v>359</v>
      </c>
      <c r="C79" s="222"/>
      <c r="D79" s="222"/>
      <c r="E79" s="208"/>
      <c r="F79" s="208"/>
      <c r="G79" s="208"/>
      <c r="H79" s="208"/>
    </row>
    <row r="80" spans="1:8" s="354" customFormat="1" ht="12" customHeight="1">
      <c r="A80" s="344" t="s">
        <v>360</v>
      </c>
      <c r="B80" s="230" t="s">
        <v>361</v>
      </c>
      <c r="C80" s="222"/>
      <c r="D80" s="222"/>
      <c r="E80" s="208"/>
      <c r="F80" s="208"/>
      <c r="G80" s="208"/>
      <c r="H80" s="208"/>
    </row>
    <row r="81" spans="1:8" s="354" customFormat="1" ht="12" customHeight="1">
      <c r="A81" s="344" t="s">
        <v>362</v>
      </c>
      <c r="B81" s="230" t="s">
        <v>363</v>
      </c>
      <c r="C81" s="222"/>
      <c r="D81" s="222"/>
      <c r="E81" s="208"/>
      <c r="F81" s="208"/>
      <c r="G81" s="208"/>
      <c r="H81" s="208"/>
    </row>
    <row r="82" spans="1:8" s="354" customFormat="1" ht="12" customHeight="1" thickBot="1">
      <c r="A82" s="345" t="s">
        <v>364</v>
      </c>
      <c r="B82" s="231" t="s">
        <v>365</v>
      </c>
      <c r="C82" s="222"/>
      <c r="D82" s="222"/>
      <c r="E82" s="208"/>
      <c r="F82" s="208"/>
      <c r="G82" s="208"/>
      <c r="H82" s="208"/>
    </row>
    <row r="83" spans="1:8" s="354" customFormat="1" ht="12" customHeight="1" thickBot="1">
      <c r="A83" s="342" t="s">
        <v>366</v>
      </c>
      <c r="B83" s="211" t="s">
        <v>367</v>
      </c>
      <c r="C83" s="236"/>
      <c r="D83" s="236"/>
      <c r="E83" s="237"/>
      <c r="F83" s="237"/>
      <c r="G83" s="237"/>
      <c r="H83" s="237"/>
    </row>
    <row r="84" spans="1:8" s="354" customFormat="1" ht="12" customHeight="1" thickBot="1">
      <c r="A84" s="342" t="s">
        <v>368</v>
      </c>
      <c r="B84" s="336" t="s">
        <v>369</v>
      </c>
      <c r="C84" s="224">
        <f>+C62+C66+C71+C74+C78+C83</f>
        <v>562302933</v>
      </c>
      <c r="D84" s="224">
        <f>+D62+D66+D71+D74+D78+D83</f>
        <v>721953533</v>
      </c>
      <c r="E84" s="234">
        <f>+E62+E66+E71+E74+E78+E83</f>
        <v>753421570</v>
      </c>
      <c r="F84" s="234">
        <f>+F62+F66+F71+F74+F78+F83</f>
        <v>753421570</v>
      </c>
      <c r="G84" s="234">
        <f>+G62+G66+G71+G74+G78+G83</f>
        <v>0</v>
      </c>
      <c r="H84" s="234"/>
    </row>
    <row r="85" spans="1:8" s="354" customFormat="1" ht="12" customHeight="1" thickBot="1">
      <c r="A85" s="346" t="s">
        <v>370</v>
      </c>
      <c r="B85" s="337" t="s">
        <v>505</v>
      </c>
      <c r="C85" s="224">
        <f>+C61+C84</f>
        <v>2636873026</v>
      </c>
      <c r="D85" s="224">
        <f>+D61+D84</f>
        <v>3624073629</v>
      </c>
      <c r="E85" s="234">
        <f>+E61+E84</f>
        <v>2741897045</v>
      </c>
      <c r="F85" s="234">
        <f>+F61+F84</f>
        <v>2739516045</v>
      </c>
      <c r="G85" s="234">
        <f>+G61+G84</f>
        <v>2381000</v>
      </c>
      <c r="H85" s="234"/>
    </row>
    <row r="86" spans="1:5" s="354" customFormat="1" ht="15" customHeight="1">
      <c r="A86" s="315"/>
      <c r="B86" s="316"/>
      <c r="C86" s="328"/>
      <c r="D86" s="328"/>
      <c r="E86" s="328"/>
    </row>
    <row r="87" spans="1:5" ht="13.5" thickBot="1">
      <c r="A87" s="317"/>
      <c r="B87" s="318"/>
      <c r="C87" s="329"/>
      <c r="D87" s="329"/>
      <c r="E87" s="329"/>
    </row>
    <row r="88" spans="1:8" s="353" customFormat="1" ht="16.5" customHeight="1" thickBot="1">
      <c r="A88" s="916" t="s">
        <v>42</v>
      </c>
      <c r="B88" s="917"/>
      <c r="C88" s="917"/>
      <c r="D88" s="917"/>
      <c r="E88" s="917"/>
      <c r="F88" s="917"/>
      <c r="G88" s="917"/>
      <c r="H88" s="918"/>
    </row>
    <row r="89" spans="1:8" s="186" customFormat="1" ht="12" customHeight="1" thickBot="1">
      <c r="A89" s="674" t="s">
        <v>6</v>
      </c>
      <c r="B89" s="675" t="s">
        <v>378</v>
      </c>
      <c r="C89" s="676">
        <f aca="true" t="shared" si="9" ref="C89:H89">SUM(C90:C94)</f>
        <v>459804866</v>
      </c>
      <c r="D89" s="676">
        <f t="shared" si="9"/>
        <v>615402385</v>
      </c>
      <c r="E89" s="676">
        <f t="shared" si="9"/>
        <v>470109833</v>
      </c>
      <c r="F89" s="676">
        <f t="shared" si="9"/>
        <v>437913816</v>
      </c>
      <c r="G89" s="676">
        <f t="shared" si="9"/>
        <v>32196017</v>
      </c>
      <c r="H89" s="676">
        <f t="shared" si="9"/>
        <v>0</v>
      </c>
    </row>
    <row r="90" spans="1:8" ht="12" customHeight="1">
      <c r="A90" s="347" t="s">
        <v>66</v>
      </c>
      <c r="B90" s="192" t="s">
        <v>36</v>
      </c>
      <c r="C90" s="321">
        <v>45492124</v>
      </c>
      <c r="D90" s="321">
        <v>46191540</v>
      </c>
      <c r="E90" s="321">
        <v>45094374</v>
      </c>
      <c r="F90" s="321">
        <f>E90-G90</f>
        <v>40423771</v>
      </c>
      <c r="G90" s="321">
        <v>4670603</v>
      </c>
      <c r="H90" s="321"/>
    </row>
    <row r="91" spans="1:8" ht="12" customHeight="1">
      <c r="A91" s="340" t="s">
        <v>67</v>
      </c>
      <c r="B91" s="190" t="s">
        <v>127</v>
      </c>
      <c r="C91" s="322">
        <v>8945964</v>
      </c>
      <c r="D91" s="322">
        <v>8945964</v>
      </c>
      <c r="E91" s="322">
        <v>8563374</v>
      </c>
      <c r="F91" s="322">
        <f>E91-G91</f>
        <v>7302351</v>
      </c>
      <c r="G91" s="322">
        <v>1261023</v>
      </c>
      <c r="H91" s="322"/>
    </row>
    <row r="92" spans="1:8" ht="12" customHeight="1">
      <c r="A92" s="340" t="s">
        <v>68</v>
      </c>
      <c r="B92" s="190" t="s">
        <v>95</v>
      </c>
      <c r="C92" s="324">
        <v>141131389</v>
      </c>
      <c r="D92" s="324">
        <v>281105585</v>
      </c>
      <c r="E92" s="324">
        <v>263170513</v>
      </c>
      <c r="F92" s="324">
        <f>E92-G92</f>
        <v>254706397</v>
      </c>
      <c r="G92" s="324">
        <f>5386116+3078000</f>
        <v>8464116</v>
      </c>
      <c r="H92" s="324"/>
    </row>
    <row r="93" spans="1:8" ht="12" customHeight="1">
      <c r="A93" s="340" t="s">
        <v>69</v>
      </c>
      <c r="B93" s="193" t="s">
        <v>128</v>
      </c>
      <c r="C93" s="324">
        <v>38150000</v>
      </c>
      <c r="D93" s="324">
        <v>38150000</v>
      </c>
      <c r="E93" s="324">
        <v>17122562</v>
      </c>
      <c r="F93" s="324">
        <f>E93</f>
        <v>17122562</v>
      </c>
      <c r="G93" s="324"/>
      <c r="H93" s="324"/>
    </row>
    <row r="94" spans="1:8" ht="12" customHeight="1">
      <c r="A94" s="340" t="s">
        <v>78</v>
      </c>
      <c r="B94" s="195" t="s">
        <v>129</v>
      </c>
      <c r="C94" s="324">
        <f>SUM(C95:C105)</f>
        <v>226085389</v>
      </c>
      <c r="D94" s="324">
        <v>241009296</v>
      </c>
      <c r="E94" s="324">
        <f>SUM(E95:E105)</f>
        <v>136159010</v>
      </c>
      <c r="F94" s="324">
        <f>E94-G94</f>
        <v>118358735</v>
      </c>
      <c r="G94" s="324">
        <f>SUM(G95:G105)</f>
        <v>17800275</v>
      </c>
      <c r="H94" s="324"/>
    </row>
    <row r="95" spans="1:8" ht="12" customHeight="1">
      <c r="A95" s="340" t="s">
        <v>70</v>
      </c>
      <c r="B95" s="190" t="s">
        <v>379</v>
      </c>
      <c r="C95" s="324">
        <v>22008700</v>
      </c>
      <c r="D95" s="324"/>
      <c r="E95" s="324">
        <v>14010662</v>
      </c>
      <c r="F95" s="324">
        <f>E95-G95</f>
        <v>14010662</v>
      </c>
      <c r="G95" s="324"/>
      <c r="H95" s="324"/>
    </row>
    <row r="96" spans="1:8" ht="12" customHeight="1">
      <c r="A96" s="340" t="s">
        <v>71</v>
      </c>
      <c r="B96" s="200" t="s">
        <v>380</v>
      </c>
      <c r="C96" s="324"/>
      <c r="D96" s="324"/>
      <c r="E96" s="324"/>
      <c r="F96" s="324">
        <f aca="true" t="shared" si="10" ref="F96:F105">E96-G96</f>
        <v>0</v>
      </c>
      <c r="G96" s="324"/>
      <c r="H96" s="324"/>
    </row>
    <row r="97" spans="1:8" ht="12" customHeight="1">
      <c r="A97" s="340" t="s">
        <v>79</v>
      </c>
      <c r="B97" s="201" t="s">
        <v>381</v>
      </c>
      <c r="C97" s="324"/>
      <c r="D97" s="324"/>
      <c r="E97" s="324"/>
      <c r="F97" s="324">
        <f t="shared" si="10"/>
        <v>0</v>
      </c>
      <c r="G97" s="324"/>
      <c r="H97" s="324"/>
    </row>
    <row r="98" spans="1:8" ht="12" customHeight="1">
      <c r="A98" s="340" t="s">
        <v>80</v>
      </c>
      <c r="B98" s="201" t="s">
        <v>382</v>
      </c>
      <c r="C98" s="324"/>
      <c r="D98" s="324"/>
      <c r="E98" s="324"/>
      <c r="F98" s="324">
        <f t="shared" si="10"/>
        <v>0</v>
      </c>
      <c r="G98" s="324"/>
      <c r="H98" s="324"/>
    </row>
    <row r="99" spans="1:8" ht="12" customHeight="1">
      <c r="A99" s="340" t="s">
        <v>81</v>
      </c>
      <c r="B99" s="200" t="s">
        <v>383</v>
      </c>
      <c r="C99" s="324">
        <v>100645575</v>
      </c>
      <c r="D99" s="324">
        <v>109657687</v>
      </c>
      <c r="E99" s="324">
        <v>104271873</v>
      </c>
      <c r="F99" s="324">
        <f t="shared" si="10"/>
        <v>104271873</v>
      </c>
      <c r="G99" s="324"/>
      <c r="H99" s="324"/>
    </row>
    <row r="100" spans="1:8" ht="12" customHeight="1">
      <c r="A100" s="340" t="s">
        <v>82</v>
      </c>
      <c r="B100" s="200" t="s">
        <v>384</v>
      </c>
      <c r="C100" s="324"/>
      <c r="D100" s="324"/>
      <c r="E100" s="324"/>
      <c r="F100" s="324">
        <f t="shared" si="10"/>
        <v>0</v>
      </c>
      <c r="G100" s="324"/>
      <c r="H100" s="324"/>
    </row>
    <row r="101" spans="1:8" ht="12" customHeight="1">
      <c r="A101" s="340" t="s">
        <v>84</v>
      </c>
      <c r="B101" s="201" t="s">
        <v>385</v>
      </c>
      <c r="C101" s="324">
        <v>400000</v>
      </c>
      <c r="D101" s="324">
        <v>400000</v>
      </c>
      <c r="E101" s="324">
        <v>76200</v>
      </c>
      <c r="F101" s="324">
        <f t="shared" si="10"/>
        <v>76200</v>
      </c>
      <c r="G101" s="324"/>
      <c r="H101" s="324"/>
    </row>
    <row r="102" spans="1:8" ht="12" customHeight="1">
      <c r="A102" s="348" t="s">
        <v>130</v>
      </c>
      <c r="B102" s="202" t="s">
        <v>386</v>
      </c>
      <c r="C102" s="324"/>
      <c r="D102" s="324"/>
      <c r="E102" s="324"/>
      <c r="F102" s="324">
        <f t="shared" si="10"/>
        <v>0</v>
      </c>
      <c r="G102" s="324"/>
      <c r="H102" s="324"/>
    </row>
    <row r="103" spans="1:8" ht="12" customHeight="1">
      <c r="A103" s="340" t="s">
        <v>387</v>
      </c>
      <c r="B103" s="202" t="s">
        <v>388</v>
      </c>
      <c r="C103" s="324"/>
      <c r="D103" s="324"/>
      <c r="E103" s="324"/>
      <c r="F103" s="324">
        <f t="shared" si="10"/>
        <v>0</v>
      </c>
      <c r="G103" s="324"/>
      <c r="H103" s="324"/>
    </row>
    <row r="104" spans="1:8" ht="12" customHeight="1">
      <c r="A104" s="341" t="s">
        <v>389</v>
      </c>
      <c r="B104" s="202" t="s">
        <v>390</v>
      </c>
      <c r="C104" s="324">
        <v>19277290</v>
      </c>
      <c r="D104" s="324">
        <v>23377290</v>
      </c>
      <c r="E104" s="324">
        <v>17800275</v>
      </c>
      <c r="F104" s="324">
        <f t="shared" si="10"/>
        <v>0</v>
      </c>
      <c r="G104" s="324">
        <v>17800275</v>
      </c>
      <c r="H104" s="324"/>
    </row>
    <row r="105" spans="1:8" s="186" customFormat="1" ht="12" customHeight="1" thickBot="1">
      <c r="A105" s="412" t="s">
        <v>646</v>
      </c>
      <c r="B105" s="203" t="s">
        <v>658</v>
      </c>
      <c r="C105" s="326">
        <v>83753824</v>
      </c>
      <c r="D105" s="326">
        <v>107574319</v>
      </c>
      <c r="E105" s="326">
        <v>0</v>
      </c>
      <c r="F105" s="324">
        <f t="shared" si="10"/>
        <v>0</v>
      </c>
      <c r="G105" s="326">
        <v>0</v>
      </c>
      <c r="H105" s="326">
        <v>0</v>
      </c>
    </row>
    <row r="106" spans="1:8" ht="12" customHeight="1" thickBot="1">
      <c r="A106" s="198" t="s">
        <v>7</v>
      </c>
      <c r="B106" s="197" t="s">
        <v>391</v>
      </c>
      <c r="C106" s="214">
        <f aca="true" t="shared" si="11" ref="C106:H106">+C107+C109+C111</f>
        <v>1261369757</v>
      </c>
      <c r="D106" s="214">
        <f t="shared" si="11"/>
        <v>1999823618</v>
      </c>
      <c r="E106" s="214">
        <f t="shared" si="11"/>
        <v>576142899</v>
      </c>
      <c r="F106" s="214">
        <f t="shared" si="11"/>
        <v>576142899</v>
      </c>
      <c r="G106" s="214">
        <f t="shared" si="11"/>
        <v>0</v>
      </c>
      <c r="H106" s="214">
        <f t="shared" si="11"/>
        <v>0</v>
      </c>
    </row>
    <row r="107" spans="1:8" ht="12" customHeight="1">
      <c r="A107" s="339" t="s">
        <v>72</v>
      </c>
      <c r="B107" s="190" t="s">
        <v>150</v>
      </c>
      <c r="C107" s="323">
        <v>919101083</v>
      </c>
      <c r="D107" s="323">
        <v>645026887</v>
      </c>
      <c r="E107" s="323">
        <v>299474469</v>
      </c>
      <c r="F107" s="323">
        <f>E107-G107</f>
        <v>299474469</v>
      </c>
      <c r="G107" s="323"/>
      <c r="H107" s="323"/>
    </row>
    <row r="108" spans="1:8" ht="12" customHeight="1">
      <c r="A108" s="339" t="s">
        <v>73</v>
      </c>
      <c r="B108" s="194" t="s">
        <v>392</v>
      </c>
      <c r="C108" s="323"/>
      <c r="D108" s="323"/>
      <c r="E108" s="323"/>
      <c r="F108" s="323">
        <f aca="true" t="shared" si="12" ref="F108:F118">E108-G108</f>
        <v>0</v>
      </c>
      <c r="G108" s="323"/>
      <c r="H108" s="323"/>
    </row>
    <row r="109" spans="1:8" ht="12" customHeight="1">
      <c r="A109" s="339" t="s">
        <v>74</v>
      </c>
      <c r="B109" s="194" t="s">
        <v>131</v>
      </c>
      <c r="C109" s="322">
        <v>302268674</v>
      </c>
      <c r="D109" s="322">
        <v>1310876731</v>
      </c>
      <c r="E109" s="322">
        <v>255955772</v>
      </c>
      <c r="F109" s="323">
        <f t="shared" si="12"/>
        <v>255955772</v>
      </c>
      <c r="G109" s="322"/>
      <c r="H109" s="322"/>
    </row>
    <row r="110" spans="1:8" ht="12" customHeight="1">
      <c r="A110" s="339" t="s">
        <v>75</v>
      </c>
      <c r="B110" s="194" t="s">
        <v>393</v>
      </c>
      <c r="C110" s="205"/>
      <c r="D110" s="205"/>
      <c r="E110" s="205"/>
      <c r="F110" s="323">
        <f t="shared" si="12"/>
        <v>0</v>
      </c>
      <c r="G110" s="205"/>
      <c r="H110" s="205"/>
    </row>
    <row r="111" spans="1:8" ht="12" customHeight="1">
      <c r="A111" s="339" t="s">
        <v>76</v>
      </c>
      <c r="B111" s="213" t="s">
        <v>152</v>
      </c>
      <c r="C111" s="205">
        <f>SUM(C112:C119)</f>
        <v>40000000</v>
      </c>
      <c r="D111" s="205">
        <f>SUM(D112:D119)</f>
        <v>43920000</v>
      </c>
      <c r="E111" s="205">
        <f>SUM(E112:E119)</f>
        <v>20712658</v>
      </c>
      <c r="F111" s="323">
        <f t="shared" si="12"/>
        <v>20712658</v>
      </c>
      <c r="G111" s="205"/>
      <c r="H111" s="205"/>
    </row>
    <row r="112" spans="1:8" ht="12" customHeight="1">
      <c r="A112" s="339" t="s">
        <v>83</v>
      </c>
      <c r="B112" s="212" t="s">
        <v>394</v>
      </c>
      <c r="C112" s="205"/>
      <c r="D112" s="205"/>
      <c r="E112" s="205"/>
      <c r="F112" s="323">
        <f t="shared" si="12"/>
        <v>0</v>
      </c>
      <c r="G112" s="205"/>
      <c r="H112" s="205"/>
    </row>
    <row r="113" spans="1:8" ht="12" customHeight="1">
      <c r="A113" s="339" t="s">
        <v>85</v>
      </c>
      <c r="B113" s="225" t="s">
        <v>395</v>
      </c>
      <c r="C113" s="205"/>
      <c r="D113" s="205"/>
      <c r="E113" s="205"/>
      <c r="F113" s="323">
        <f t="shared" si="12"/>
        <v>0</v>
      </c>
      <c r="G113" s="205"/>
      <c r="H113" s="205"/>
    </row>
    <row r="114" spans="1:8" ht="12" customHeight="1">
      <c r="A114" s="339" t="s">
        <v>132</v>
      </c>
      <c r="B114" s="201" t="s">
        <v>382</v>
      </c>
      <c r="C114" s="205"/>
      <c r="D114" s="205"/>
      <c r="E114" s="205"/>
      <c r="F114" s="323">
        <f t="shared" si="12"/>
        <v>0</v>
      </c>
      <c r="G114" s="205"/>
      <c r="H114" s="205"/>
    </row>
    <row r="115" spans="1:8" ht="12" customHeight="1">
      <c r="A115" s="339" t="s">
        <v>133</v>
      </c>
      <c r="B115" s="201" t="s">
        <v>396</v>
      </c>
      <c r="C115" s="205"/>
      <c r="D115" s="205"/>
      <c r="E115" s="205"/>
      <c r="F115" s="323">
        <f t="shared" si="12"/>
        <v>0</v>
      </c>
      <c r="G115" s="205"/>
      <c r="H115" s="205"/>
    </row>
    <row r="116" spans="1:8" ht="12" customHeight="1">
      <c r="A116" s="339" t="s">
        <v>134</v>
      </c>
      <c r="B116" s="201" t="s">
        <v>397</v>
      </c>
      <c r="C116" s="205"/>
      <c r="D116" s="205"/>
      <c r="E116" s="205"/>
      <c r="F116" s="323">
        <f t="shared" si="12"/>
        <v>0</v>
      </c>
      <c r="G116" s="205"/>
      <c r="H116" s="205"/>
    </row>
    <row r="117" spans="1:8" ht="12" customHeight="1">
      <c r="A117" s="339" t="s">
        <v>398</v>
      </c>
      <c r="B117" s="201" t="s">
        <v>385</v>
      </c>
      <c r="C117" s="205"/>
      <c r="D117" s="205">
        <v>3920000</v>
      </c>
      <c r="E117" s="205">
        <v>3920000</v>
      </c>
      <c r="F117" s="323">
        <f t="shared" si="12"/>
        <v>3920000</v>
      </c>
      <c r="G117" s="205"/>
      <c r="H117" s="205"/>
    </row>
    <row r="118" spans="1:8" ht="12" customHeight="1">
      <c r="A118" s="339" t="s">
        <v>399</v>
      </c>
      <c r="B118" s="201" t="s">
        <v>400</v>
      </c>
      <c r="C118" s="205"/>
      <c r="D118" s="205"/>
      <c r="E118" s="205"/>
      <c r="F118" s="323">
        <f t="shared" si="12"/>
        <v>0</v>
      </c>
      <c r="G118" s="205"/>
      <c r="H118" s="205"/>
    </row>
    <row r="119" spans="1:8" ht="12" customHeight="1" thickBot="1">
      <c r="A119" s="348" t="s">
        <v>401</v>
      </c>
      <c r="B119" s="201" t="s">
        <v>402</v>
      </c>
      <c r="C119" s="207">
        <v>40000000</v>
      </c>
      <c r="D119" s="207">
        <v>40000000</v>
      </c>
      <c r="E119" s="207">
        <v>16792658</v>
      </c>
      <c r="F119" s="323">
        <f>E119-G119</f>
        <v>16792658</v>
      </c>
      <c r="G119" s="207"/>
      <c r="H119" s="207"/>
    </row>
    <row r="120" spans="1:8" ht="12" customHeight="1" thickBot="1">
      <c r="A120" s="198" t="s">
        <v>8</v>
      </c>
      <c r="B120" s="199" t="s">
        <v>404</v>
      </c>
      <c r="C120" s="214">
        <f aca="true" t="shared" si="13" ref="C120:H120">+C89+C106</f>
        <v>1721174623</v>
      </c>
      <c r="D120" s="214">
        <f t="shared" si="13"/>
        <v>2615226003</v>
      </c>
      <c r="E120" s="214">
        <f t="shared" si="13"/>
        <v>1046252732</v>
      </c>
      <c r="F120" s="214">
        <f t="shared" si="13"/>
        <v>1014056715</v>
      </c>
      <c r="G120" s="214">
        <f t="shared" si="13"/>
        <v>32196017</v>
      </c>
      <c r="H120" s="214">
        <f t="shared" si="13"/>
        <v>0</v>
      </c>
    </row>
    <row r="121" spans="1:8" ht="12" customHeight="1" thickBot="1">
      <c r="A121" s="198" t="s">
        <v>9</v>
      </c>
      <c r="B121" s="199" t="s">
        <v>660</v>
      </c>
      <c r="C121" s="214">
        <f aca="true" t="shared" si="14" ref="C121:H121">+C122+C123+C124</f>
        <v>0</v>
      </c>
      <c r="D121" s="214">
        <f t="shared" si="14"/>
        <v>0</v>
      </c>
      <c r="E121" s="214">
        <f t="shared" si="14"/>
        <v>0</v>
      </c>
      <c r="F121" s="214">
        <f t="shared" si="14"/>
        <v>0</v>
      </c>
      <c r="G121" s="214">
        <f t="shared" si="14"/>
        <v>0</v>
      </c>
      <c r="H121" s="214">
        <f t="shared" si="14"/>
        <v>0</v>
      </c>
    </row>
    <row r="122" spans="1:8" ht="12" customHeight="1">
      <c r="A122" s="339" t="s">
        <v>284</v>
      </c>
      <c r="B122" s="191" t="s">
        <v>406</v>
      </c>
      <c r="C122" s="205"/>
      <c r="D122" s="205"/>
      <c r="E122" s="205"/>
      <c r="F122" s="205"/>
      <c r="G122" s="205"/>
      <c r="H122" s="205"/>
    </row>
    <row r="123" spans="1:8" ht="12" customHeight="1">
      <c r="A123" s="339" t="s">
        <v>286</v>
      </c>
      <c r="B123" s="191" t="s">
        <v>407</v>
      </c>
      <c r="C123" s="205"/>
      <c r="D123" s="205"/>
      <c r="E123" s="205"/>
      <c r="F123" s="205"/>
      <c r="G123" s="205"/>
      <c r="H123" s="205"/>
    </row>
    <row r="124" spans="1:8" ht="12" customHeight="1" thickBot="1">
      <c r="A124" s="348" t="s">
        <v>287</v>
      </c>
      <c r="B124" s="189" t="s">
        <v>408</v>
      </c>
      <c r="C124" s="205"/>
      <c r="D124" s="205"/>
      <c r="E124" s="205"/>
      <c r="F124" s="205"/>
      <c r="G124" s="205"/>
      <c r="H124" s="205"/>
    </row>
    <row r="125" spans="1:8" ht="12" customHeight="1" thickBot="1">
      <c r="A125" s="198" t="s">
        <v>10</v>
      </c>
      <c r="B125" s="199" t="s">
        <v>661</v>
      </c>
      <c r="C125" s="214">
        <f aca="true" t="shared" si="15" ref="C125:H125">+C126+C127+C128+C129</f>
        <v>0</v>
      </c>
      <c r="D125" s="214">
        <f t="shared" si="15"/>
        <v>0</v>
      </c>
      <c r="E125" s="214">
        <f t="shared" si="15"/>
        <v>0</v>
      </c>
      <c r="F125" s="214">
        <f t="shared" si="15"/>
        <v>0</v>
      </c>
      <c r="G125" s="214">
        <f t="shared" si="15"/>
        <v>0</v>
      </c>
      <c r="H125" s="214">
        <f t="shared" si="15"/>
        <v>0</v>
      </c>
    </row>
    <row r="126" spans="1:8" ht="12" customHeight="1">
      <c r="A126" s="339" t="s">
        <v>59</v>
      </c>
      <c r="B126" s="191" t="s">
        <v>410</v>
      </c>
      <c r="C126" s="205"/>
      <c r="D126" s="205"/>
      <c r="E126" s="205"/>
      <c r="F126" s="205"/>
      <c r="G126" s="205"/>
      <c r="H126" s="205"/>
    </row>
    <row r="127" spans="1:8" ht="12" customHeight="1">
      <c r="A127" s="339" t="s">
        <v>60</v>
      </c>
      <c r="B127" s="191" t="s">
        <v>411</v>
      </c>
      <c r="C127" s="205"/>
      <c r="D127" s="205"/>
      <c r="E127" s="205"/>
      <c r="F127" s="205"/>
      <c r="G127" s="205"/>
      <c r="H127" s="205"/>
    </row>
    <row r="128" spans="1:8" ht="12" customHeight="1">
      <c r="A128" s="339" t="s">
        <v>61</v>
      </c>
      <c r="B128" s="191" t="s">
        <v>412</v>
      </c>
      <c r="C128" s="205"/>
      <c r="D128" s="205"/>
      <c r="E128" s="205"/>
      <c r="F128" s="205"/>
      <c r="G128" s="205"/>
      <c r="H128" s="205"/>
    </row>
    <row r="129" spans="1:8" s="186" customFormat="1" ht="12" customHeight="1" thickBot="1">
      <c r="A129" s="348" t="s">
        <v>119</v>
      </c>
      <c r="B129" s="189" t="s">
        <v>413</v>
      </c>
      <c r="C129" s="205"/>
      <c r="D129" s="205"/>
      <c r="E129" s="205"/>
      <c r="F129" s="205"/>
      <c r="G129" s="205"/>
      <c r="H129" s="205"/>
    </row>
    <row r="130" spans="1:11" ht="13.5" thickBot="1">
      <c r="A130" s="198" t="s">
        <v>11</v>
      </c>
      <c r="B130" s="199" t="s">
        <v>662</v>
      </c>
      <c r="C130" s="325">
        <f aca="true" t="shared" si="16" ref="C130:H130">+C131+C132+C133+C135+C134</f>
        <v>915698403</v>
      </c>
      <c r="D130" s="325">
        <f t="shared" si="16"/>
        <v>1008847625</v>
      </c>
      <c r="E130" s="325">
        <f t="shared" si="16"/>
        <v>950441622</v>
      </c>
      <c r="F130" s="325">
        <f t="shared" si="16"/>
        <v>926315795</v>
      </c>
      <c r="G130" s="325">
        <f t="shared" si="16"/>
        <v>24125827</v>
      </c>
      <c r="H130" s="325">
        <f t="shared" si="16"/>
        <v>0</v>
      </c>
      <c r="K130" s="308"/>
    </row>
    <row r="131" spans="1:8" ht="12.75">
      <c r="A131" s="339" t="s">
        <v>62</v>
      </c>
      <c r="B131" s="191" t="s">
        <v>414</v>
      </c>
      <c r="C131" s="205"/>
      <c r="D131" s="205"/>
      <c r="E131" s="205"/>
      <c r="F131" s="205"/>
      <c r="G131" s="205"/>
      <c r="H131" s="205"/>
    </row>
    <row r="132" spans="1:8" ht="12" customHeight="1">
      <c r="A132" s="339" t="s">
        <v>63</v>
      </c>
      <c r="B132" s="191" t="s">
        <v>415</v>
      </c>
      <c r="C132" s="205">
        <v>27897658</v>
      </c>
      <c r="D132" s="205">
        <v>42285287</v>
      </c>
      <c r="E132" s="205">
        <v>42285287</v>
      </c>
      <c r="F132" s="205">
        <v>42285287</v>
      </c>
      <c r="G132" s="205"/>
      <c r="H132" s="205"/>
    </row>
    <row r="133" spans="1:8" s="186" customFormat="1" ht="12" customHeight="1">
      <c r="A133" s="339" t="s">
        <v>306</v>
      </c>
      <c r="B133" s="191" t="s">
        <v>612</v>
      </c>
      <c r="C133" s="205">
        <v>887800745</v>
      </c>
      <c r="D133" s="205">
        <v>966562338</v>
      </c>
      <c r="E133" s="205">
        <v>908156335</v>
      </c>
      <c r="F133" s="205">
        <f>E133-G133</f>
        <v>884030508</v>
      </c>
      <c r="G133" s="205">
        <f>' 7..sz. mell Hivatal'!G40+'8. sz. mell. Családsegítő'!G40+'9. sz. mell VGSZ'!G40+'10.sz. mell. Könyvtár'!G40+'11.sz. mell. Óvoda'!G40+'12.sz. mell. Bölcsöde)'!G41</f>
        <v>24125827</v>
      </c>
      <c r="H133" s="205"/>
    </row>
    <row r="134" spans="1:8" s="186" customFormat="1" ht="12" customHeight="1">
      <c r="A134" s="339" t="s">
        <v>308</v>
      </c>
      <c r="B134" s="191" t="s">
        <v>416</v>
      </c>
      <c r="C134" s="205"/>
      <c r="D134" s="205"/>
      <c r="E134" s="205"/>
      <c r="F134" s="205"/>
      <c r="G134" s="205"/>
      <c r="H134" s="205"/>
    </row>
    <row r="135" spans="1:8" s="186" customFormat="1" ht="12" customHeight="1" thickBot="1">
      <c r="A135" s="348" t="s">
        <v>310</v>
      </c>
      <c r="B135" s="189" t="s">
        <v>417</v>
      </c>
      <c r="C135" s="205"/>
      <c r="D135" s="205"/>
      <c r="E135" s="205"/>
      <c r="F135" s="205"/>
      <c r="G135" s="205"/>
      <c r="H135" s="205"/>
    </row>
    <row r="136" spans="1:8" s="186" customFormat="1" ht="12" customHeight="1" thickBot="1">
      <c r="A136" s="198" t="s">
        <v>12</v>
      </c>
      <c r="B136" s="199" t="s">
        <v>663</v>
      </c>
      <c r="C136" s="327">
        <f aca="true" t="shared" si="17" ref="C136:H136">+C137+C138+C139+C140</f>
        <v>0</v>
      </c>
      <c r="D136" s="327">
        <f t="shared" si="17"/>
        <v>0</v>
      </c>
      <c r="E136" s="327">
        <f t="shared" si="17"/>
        <v>0</v>
      </c>
      <c r="F136" s="327">
        <f t="shared" si="17"/>
        <v>0</v>
      </c>
      <c r="G136" s="327">
        <f t="shared" si="17"/>
        <v>0</v>
      </c>
      <c r="H136" s="327">
        <f t="shared" si="17"/>
        <v>0</v>
      </c>
    </row>
    <row r="137" spans="1:8" s="186" customFormat="1" ht="12" customHeight="1">
      <c r="A137" s="339" t="s">
        <v>64</v>
      </c>
      <c r="B137" s="191" t="s">
        <v>419</v>
      </c>
      <c r="C137" s="205"/>
      <c r="D137" s="205"/>
      <c r="E137" s="205"/>
      <c r="F137" s="205"/>
      <c r="G137" s="205"/>
      <c r="H137" s="205"/>
    </row>
    <row r="138" spans="1:8" s="186" customFormat="1" ht="12" customHeight="1">
      <c r="A138" s="339" t="s">
        <v>65</v>
      </c>
      <c r="B138" s="191" t="s">
        <v>420</v>
      </c>
      <c r="C138" s="205"/>
      <c r="D138" s="205"/>
      <c r="E138" s="205"/>
      <c r="F138" s="205"/>
      <c r="G138" s="205"/>
      <c r="H138" s="205"/>
    </row>
    <row r="139" spans="1:8" s="186" customFormat="1" ht="12" customHeight="1">
      <c r="A139" s="339" t="s">
        <v>315</v>
      </c>
      <c r="B139" s="191" t="s">
        <v>421</v>
      </c>
      <c r="C139" s="205"/>
      <c r="D139" s="205"/>
      <c r="E139" s="205"/>
      <c r="F139" s="205"/>
      <c r="G139" s="205"/>
      <c r="H139" s="205"/>
    </row>
    <row r="140" spans="1:8" ht="12.75" customHeight="1" thickBot="1">
      <c r="A140" s="339" t="s">
        <v>317</v>
      </c>
      <c r="B140" s="191" t="s">
        <v>422</v>
      </c>
      <c r="C140" s="205"/>
      <c r="D140" s="205"/>
      <c r="E140" s="205"/>
      <c r="F140" s="205"/>
      <c r="G140" s="205"/>
      <c r="H140" s="205"/>
    </row>
    <row r="141" spans="1:8" ht="12" customHeight="1" thickBot="1">
      <c r="A141" s="198" t="s">
        <v>13</v>
      </c>
      <c r="B141" s="199" t="s">
        <v>664</v>
      </c>
      <c r="C141" s="338">
        <f aca="true" t="shared" si="18" ref="C141:H141">+C121+C125+C130+C136</f>
        <v>915698403</v>
      </c>
      <c r="D141" s="338">
        <f t="shared" si="18"/>
        <v>1008847625</v>
      </c>
      <c r="E141" s="338">
        <f t="shared" si="18"/>
        <v>950441622</v>
      </c>
      <c r="F141" s="338">
        <f t="shared" si="18"/>
        <v>926315795</v>
      </c>
      <c r="G141" s="338">
        <f t="shared" si="18"/>
        <v>24125827</v>
      </c>
      <c r="H141" s="338">
        <f t="shared" si="18"/>
        <v>0</v>
      </c>
    </row>
    <row r="142" spans="1:8" ht="15" customHeight="1" thickBot="1">
      <c r="A142" s="349" t="s">
        <v>14</v>
      </c>
      <c r="B142" s="215" t="s">
        <v>665</v>
      </c>
      <c r="C142" s="338">
        <f aca="true" t="shared" si="19" ref="C142:H142">+C120+C141</f>
        <v>2636873026</v>
      </c>
      <c r="D142" s="338">
        <f t="shared" si="19"/>
        <v>3624073628</v>
      </c>
      <c r="E142" s="338">
        <f t="shared" si="19"/>
        <v>1996694354</v>
      </c>
      <c r="F142" s="338">
        <f t="shared" si="19"/>
        <v>1940372510</v>
      </c>
      <c r="G142" s="338">
        <f t="shared" si="19"/>
        <v>56321844</v>
      </c>
      <c r="H142" s="338">
        <f t="shared" si="19"/>
        <v>0</v>
      </c>
    </row>
    <row r="143" spans="1:8" ht="13.5" thickBot="1">
      <c r="A143" s="37"/>
      <c r="B143" s="38"/>
      <c r="C143" s="39"/>
      <c r="D143" s="39"/>
      <c r="E143" s="39"/>
      <c r="F143" s="39"/>
      <c r="G143" s="39"/>
      <c r="H143" s="39"/>
    </row>
    <row r="144" spans="1:8" ht="15" customHeight="1" thickBot="1">
      <c r="A144" s="319" t="s">
        <v>614</v>
      </c>
      <c r="B144" s="320"/>
      <c r="C144" s="99">
        <v>9</v>
      </c>
      <c r="D144" s="100">
        <v>9</v>
      </c>
      <c r="E144" s="97">
        <v>9</v>
      </c>
      <c r="F144" s="97"/>
      <c r="G144" s="97"/>
      <c r="H144" s="97"/>
    </row>
    <row r="145" spans="1:8" ht="14.25" customHeight="1" thickBot="1">
      <c r="A145" s="319" t="s">
        <v>143</v>
      </c>
      <c r="B145" s="320"/>
      <c r="C145" s="99">
        <v>0</v>
      </c>
      <c r="D145" s="100">
        <v>0</v>
      </c>
      <c r="E145" s="97">
        <v>0</v>
      </c>
      <c r="F145" s="97"/>
      <c r="G145" s="97"/>
      <c r="H145" s="97"/>
    </row>
  </sheetData>
  <sheetProtection formatCells="0"/>
  <mergeCells count="5">
    <mergeCell ref="B2:H2"/>
    <mergeCell ref="B3:H3"/>
    <mergeCell ref="A7:H7"/>
    <mergeCell ref="A88:H88"/>
    <mergeCell ref="E1:H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8" scale="65" r:id="rId1"/>
  <rowBreaks count="1" manualBreakCount="1"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2020-07-01T11:23:25Z</cp:lastPrinted>
  <dcterms:created xsi:type="dcterms:W3CDTF">1999-10-30T10:30:45Z</dcterms:created>
  <dcterms:modified xsi:type="dcterms:W3CDTF">2020-07-01T11:39:07Z</dcterms:modified>
  <cp:category/>
  <cp:version/>
  <cp:contentType/>
  <cp:contentStatus/>
</cp:coreProperties>
</file>